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chartsheets/sheet1.xml" ContentType="application/vnd.openxmlformats-officedocument.spreadsheetml.chart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comments1.xml" ContentType="application/vnd.openxmlformats-officedocument.spreadsheetml.comments+xml"/>
  <Override PartName="/xl/drawings/drawing6.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8.xml" ContentType="application/vnd.openxmlformats-officedocument.drawing+xml"/>
  <Override PartName="/xl/charts/chart9.xml" ContentType="application/vnd.openxmlformats-officedocument.drawingml.chart+xml"/>
  <Override PartName="/xl/drawings/drawing9.xml" ContentType="application/vnd.openxmlformats-officedocument.drawing+xml"/>
  <Override PartName="/xl/charts/chart10.xml" ContentType="application/vnd.openxmlformats-officedocument.drawingml.chart+xml"/>
  <Override PartName="/xl/drawings/drawing10.xml" ContentType="application/vnd.openxmlformats-officedocument.drawing+xml"/>
  <Override PartName="/xl/charts/chart11.xml" ContentType="application/vnd.openxmlformats-officedocument.drawingml.chart+xml"/>
  <Override PartName="/xl/drawings/drawing11.xml" ContentType="application/vnd.openxmlformats-officedocument.drawing+xml"/>
  <Override PartName="/xl/charts/chart12.xml" ContentType="application/vnd.openxmlformats-officedocument.drawingml.chart+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12.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13.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4.xml" ContentType="application/vnd.openxmlformats-officedocument.drawing+xml"/>
  <Override PartName="/xl/charts/chart17.xml" ContentType="application/vnd.openxmlformats-officedocument.drawingml.chart+xml"/>
  <Override PartName="/xl/drawings/drawing15.xml" ContentType="application/vnd.openxmlformats-officedocument.drawing+xml"/>
  <Override PartName="/xl/charts/chart18.xml" ContentType="application/vnd.openxmlformats-officedocument.drawingml.chart+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drawings/drawing16.xml" ContentType="application/vnd.openxmlformats-officedocument.drawing+xml"/>
  <Override PartName="/xl/drawings/drawing17.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drawings/drawing18.xml" ContentType="application/vnd.openxmlformats-officedocument.drawing+xml"/>
  <Override PartName="/xl/charts/chart22.xml" ContentType="application/vnd.openxmlformats-officedocument.drawingml.chart+xml"/>
  <Override PartName="/xl/drawings/drawing19.xml" ContentType="application/vnd.openxmlformats-officedocument.drawing+xml"/>
  <Override PartName="/xl/charts/chart23.xml" ContentType="application/vnd.openxmlformats-officedocument.drawingml.chart+xml"/>
  <Override PartName="/xl/drawings/drawing20.xml" ContentType="application/vnd.openxmlformats-officedocument.drawing+xml"/>
  <Override PartName="/xl/charts/chart24.xml" ContentType="application/vnd.openxmlformats-officedocument.drawingml.chart+xml"/>
  <Override PartName="/xl/drawings/drawing21.xml" ContentType="application/vnd.openxmlformats-officedocument.drawing+xml"/>
  <Override PartName="/xl/charts/chart25.xml" ContentType="application/vnd.openxmlformats-officedocument.drawingml.chart+xml"/>
  <Override PartName="/xl/drawings/drawing22.xml" ContentType="application/vnd.openxmlformats-officedocument.drawing+xml"/>
  <Override PartName="/xl/charts/chart26.xml" ContentType="application/vnd.openxmlformats-officedocument.drawingml.chart+xml"/>
  <Override PartName="/xl/comments11.xml" ContentType="application/vnd.openxmlformats-officedocument.spreadsheetml.comments+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aveExternalLinkValues="0" codeName="ThisWorkbook"/>
  <mc:AlternateContent xmlns:mc="http://schemas.openxmlformats.org/markup-compatibility/2006">
    <mc:Choice Requires="x15">
      <x15ac:absPath xmlns:x15ac="http://schemas.microsoft.com/office/spreadsheetml/2010/11/ac" url="C:\Users\mkirkpatrick\Documents\2012-2013 Fact Book\"/>
    </mc:Choice>
  </mc:AlternateContent>
  <bookViews>
    <workbookView xWindow="10848" yWindow="192" windowWidth="11100" windowHeight="10932" tabRatio="1000"/>
  </bookViews>
  <sheets>
    <sheet name="Table of Contents" sheetId="80" r:id="rId1"/>
    <sheet name="Board of Trustees" sheetId="313" r:id="rId2"/>
    <sheet name="Executive Officers" sheetId="5" r:id="rId3"/>
    <sheet name="2011-2012 org chart" sheetId="269" r:id="rId4"/>
    <sheet name="Freshmen Application History" sheetId="277" r:id="rId5"/>
    <sheet name="Freshmen by Gender" sheetId="278" r:id="rId6"/>
    <sheet name="Freshmen by Ethnic Origin" sheetId="279" r:id="rId7"/>
    <sheet name="Freshmen SAT 91-95" sheetId="280" r:id="rId8"/>
    <sheet name="Freshmen SAT 96-12" sheetId="281" r:id="rId9"/>
    <sheet name="first time freshmen by high sch" sheetId="311" r:id="rId10"/>
    <sheet name="Transfer Application History" sheetId="283" r:id="rId11"/>
    <sheet name="Transfers by Gender" sheetId="284" r:id="rId12"/>
    <sheet name="Transfers by Ethnic Origin" sheetId="285" r:id="rId13"/>
    <sheet name="Transfers by Institution" sheetId="286" r:id="rId14"/>
    <sheet name="Fall 2012 Headcount" sheetId="309" r:id="rId15"/>
    <sheet name="NEW Fall CHP by DISC" sheetId="160" r:id="rId16"/>
    <sheet name="NEW Fall FTE by DISC" sheetId="161" r:id="rId17"/>
    <sheet name="UG cr hrs per student" sheetId="239" r:id="rId18"/>
    <sheet name="Spring 2013 Headcount" sheetId="310" r:id="rId19"/>
    <sheet name="NEW Spring CHP by DISC" sheetId="183" r:id="rId20"/>
    <sheet name="NEW Spring FTE by DISC" sheetId="184" r:id="rId21"/>
    <sheet name="Headcount &amp; FTE History" sheetId="21" r:id="rId22"/>
    <sheet name="NEW Summer CHP by DISC" sheetId="185" r:id="rId23"/>
    <sheet name="NEW Summer FTE by DISC" sheetId="186" r:id="rId24"/>
    <sheet name="Summer Credit Hour Production" sheetId="233" r:id="rId25"/>
    <sheet name="Fall Headcount by Class" sheetId="27" r:id="rId26"/>
    <sheet name="Spring Headcount by Class" sheetId="181" r:id="rId27"/>
    <sheet name="Summer Headcount by Class" sheetId="234" r:id="rId28"/>
    <sheet name="New Fall college hdcnt by major" sheetId="159" r:id="rId29"/>
    <sheet name="Fal hdct by major 5 yr ave" sheetId="274" r:id="rId30"/>
    <sheet name="Fall Headcoun by Education Majo" sheetId="305" r:id="rId31"/>
    <sheet name="Minor Headcount History" sheetId="29" r:id="rId32"/>
    <sheet name="Spring college hdcnt by major" sheetId="196" r:id="rId33"/>
    <sheet name="New Summer hdnt by college" sheetId="273" r:id="rId34"/>
    <sheet name="Number of Online Courses" sheetId="259" r:id="rId35"/>
    <sheet name="Average Age" sheetId="32" r:id="rId36"/>
    <sheet name="Fall 2012 by Age and Gend" sheetId="122" r:id="rId37"/>
    <sheet name="Black Enrollment History" sheetId="33" r:id="rId38"/>
    <sheet name="Country of Origin" sheetId="36" r:id="rId39"/>
    <sheet name="State of Origin" sheetId="34" r:id="rId40"/>
    <sheet name="SC Students by County" sheetId="35" r:id="rId41"/>
    <sheet name="In- &amp; Out-of-State Distribution" sheetId="37" r:id="rId42"/>
    <sheet name="New degrees conferred by colleg" sheetId="187" r:id="rId43"/>
    <sheet name="deg conferred 5 yr averages" sheetId="308" r:id="rId44"/>
    <sheet name="teacher certification degrees" sheetId="276" r:id="rId45"/>
    <sheet name="Minors Conferred" sheetId="39" r:id="rId46"/>
    <sheet name="Minors Conferred 5 year average" sheetId="261" r:id="rId47"/>
    <sheet name="Residency Halls Occupancy" sheetId="270" r:id="rId48"/>
    <sheet name="Library Statistics" sheetId="318" r:id="rId49"/>
    <sheet name="Alumni by Country" sheetId="50" r:id="rId50"/>
    <sheet name="Alumni by State" sheetId="49" r:id="rId51"/>
    <sheet name="Alumni by County" sheetId="48" r:id="rId52"/>
    <sheet name="FTE Student-Faculty Ratio" sheetId="322" r:id="rId53"/>
    <sheet name="Fall Teaching Fac. by Div rank" sheetId="323" r:id="rId54"/>
    <sheet name="Faculty by Div,Tenure,Degree" sheetId="324" r:id="rId55"/>
    <sheet name="Faculty by Div,Ten,Dg-Chart" sheetId="325" r:id="rId56"/>
    <sheet name="Faculty by Rank and Gender" sheetId="326" r:id="rId57"/>
    <sheet name="Faculty Salaries by Rank" sheetId="327" r:id="rId58"/>
    <sheet name="Academic Fees" sheetId="328" r:id="rId59"/>
    <sheet name="financial aid sources" sheetId="319" r:id="rId60"/>
    <sheet name="Chart_Aid" sheetId="321" r:id="rId61"/>
    <sheet name="Revenues and Expenditures 12_13" sheetId="329" r:id="rId62"/>
    <sheet name=" Facilities" sheetId="330" r:id="rId63"/>
    <sheet name="Graduation Rates (2003)" sheetId="267" r:id="rId64"/>
    <sheet name="Graduation Rates (2004)" sheetId="288" r:id="rId65"/>
    <sheet name="Graduation Rates (2005)" sheetId="307" r:id="rId66"/>
    <sheet name="Graduation Rates (2006)" sheetId="315" r:id="rId67"/>
    <sheet name="Graduation Rates 4 Yr Ave" sheetId="268" r:id="rId68"/>
    <sheet name="Freshmen Retention_Attrition" sheetId="262" r:id="rId69"/>
    <sheet name="Transfer Retention_Attrition" sheetId="263" r:id="rId70"/>
  </sheets>
  <externalReferences>
    <externalReference r:id="rId71"/>
  </externalReferences>
  <definedNames>
    <definedName name="_xlnm._FilterDatabase" localSheetId="49" hidden="1">'Alumni by Country'!$A$4:$K$40</definedName>
    <definedName name="_xlnm._FilterDatabase" localSheetId="51" hidden="1">'Alumni by County'!$A$4:$G$4</definedName>
    <definedName name="_xlnm._FilterDatabase" localSheetId="50" hidden="1">'Alumni by State'!$A$4:$H$55</definedName>
    <definedName name="_xlnm._FilterDatabase" localSheetId="38" hidden="1">'Country of Origin'!$A$3:$J$51</definedName>
    <definedName name="_xlnm._FilterDatabase" localSheetId="29" hidden="1">'Fal hdct by major 5 yr ave'!$A$5:$S$138</definedName>
    <definedName name="_xlnm._FilterDatabase" localSheetId="9" hidden="1">'first time freshmen by high sch'!$A$5:$Q$452</definedName>
    <definedName name="_xlnm._FilterDatabase" localSheetId="42" hidden="1">'New degrees conferred by colleg'!$A$5:$L$105</definedName>
    <definedName name="_xlnm._FilterDatabase" localSheetId="39" hidden="1">'State of Origin'!$A$4:$E$49</definedName>
    <definedName name="_Order1" hidden="1">255</definedName>
    <definedName name="All_Full_time_Freshmen" localSheetId="58">'[1]Freshmen Retention_Attrition'!$A$2</definedName>
    <definedName name="All_Full_time_Freshmen" localSheetId="54">'[1]Freshmen Retention_Attrition'!$A$2</definedName>
    <definedName name="All_Full_time_Freshmen" localSheetId="56">'[1]Freshmen Retention_Attrition'!$A$2</definedName>
    <definedName name="All_Full_time_Freshmen" localSheetId="57">'[1]Freshmen Retention_Attrition'!$A$2</definedName>
    <definedName name="All_Full_time_Freshmen" localSheetId="53">'[1]Freshmen Retention_Attrition'!$A$2</definedName>
    <definedName name="All_Full_time_Freshmen" localSheetId="4">'[1]Freshmen Retention_Attrition'!$A$2</definedName>
    <definedName name="All_Full_time_Freshmen" localSheetId="6">'[1]Freshmen Retention_Attrition'!$A$2</definedName>
    <definedName name="All_Full_time_Freshmen" localSheetId="5">'[1]Freshmen Retention_Attrition'!$A$2</definedName>
    <definedName name="All_Full_time_Freshmen" localSheetId="8">'[1]Freshmen Retention_Attrition'!$A$2</definedName>
    <definedName name="All_Full_time_Freshmen" localSheetId="10">'[1]Freshmen Retention_Attrition'!$A$2</definedName>
    <definedName name="HTML_CodePage" hidden="1">1252</definedName>
    <definedName name="HTML_Control" localSheetId="62" hidden="1">{"'A'!$A$1:$F$28"}</definedName>
    <definedName name="HTML_Control" localSheetId="58" hidden="1">{"'A'!$A$1:$F$28"}</definedName>
    <definedName name="HTML_Control" localSheetId="1" hidden="1">{"'A'!$A$1:$F$28"}</definedName>
    <definedName name="HTML_Control" localSheetId="60" hidden="1">{"'A'!$A$1:$F$28"}</definedName>
    <definedName name="HTML_Control" localSheetId="43" hidden="1">{"'A'!$A$1:$F$28"}</definedName>
    <definedName name="HTML_Control" localSheetId="54" hidden="1">{"'A'!$A$1:$F$28"}</definedName>
    <definedName name="HTML_Control" localSheetId="56" hidden="1">{"'A'!$A$1:$F$28"}</definedName>
    <definedName name="HTML_Control" localSheetId="57" hidden="1">{"'A'!$A$1:$F$28"}</definedName>
    <definedName name="HTML_Control" localSheetId="29" hidden="1">{"'A'!$A$1:$F$28"}</definedName>
    <definedName name="HTML_Control" localSheetId="36" hidden="1">{"'A'!$A$1:$F$28"}</definedName>
    <definedName name="HTML_Control" localSheetId="30" hidden="1">{"'A'!$A$1:$F$28"}</definedName>
    <definedName name="HTML_Control" localSheetId="53" hidden="1">{"'A'!$A$1:$F$28"}</definedName>
    <definedName name="HTML_Control" localSheetId="4" hidden="1">{"'A'!$A$1:$F$28"}</definedName>
    <definedName name="HTML_Control" localSheetId="6" hidden="1">{"'A'!$A$1:$F$28"}</definedName>
    <definedName name="HTML_Control" localSheetId="5" hidden="1">{"'A'!$A$1:$F$28"}</definedName>
    <definedName name="HTML_Control" localSheetId="68" hidden="1">{"'A'!$A$1:$F$28"}</definedName>
    <definedName name="HTML_Control" localSheetId="8" hidden="1">{"'A'!$A$1:$F$28"}</definedName>
    <definedName name="HTML_Control" localSheetId="63" hidden="1">{"'A'!$A$1:$F$28"}</definedName>
    <definedName name="HTML_Control" localSheetId="64" hidden="1">{"'A'!$A$1:$F$28"}</definedName>
    <definedName name="HTML_Control" localSheetId="65" hidden="1">{"'A'!$A$1:$F$28"}</definedName>
    <definedName name="HTML_Control" localSheetId="66" hidden="1">{"'A'!$A$1:$F$28"}</definedName>
    <definedName name="HTML_Control" localSheetId="48" hidden="1">{"'A'!$A$1:$F$28"}</definedName>
    <definedName name="HTML_Control" localSheetId="46" hidden="1">{"'A'!$A$1:$F$28"}</definedName>
    <definedName name="HTML_Control" localSheetId="42" hidden="1">{"'A'!$A$1:$F$28"}</definedName>
    <definedName name="HTML_Control" localSheetId="15" hidden="1">{"'A'!$A$1:$F$28"}</definedName>
    <definedName name="HTML_Control" localSheetId="28" hidden="1">{"'A'!$A$1:$F$28"}</definedName>
    <definedName name="HTML_Control" localSheetId="16" hidden="1">{"'A'!$A$1:$F$28"}</definedName>
    <definedName name="HTML_Control" localSheetId="19" hidden="1">{"'A'!$A$1:$F$28"}</definedName>
    <definedName name="HTML_Control" localSheetId="20" hidden="1">{"'A'!$A$1:$F$28"}</definedName>
    <definedName name="HTML_Control" localSheetId="22" hidden="1">{"'A'!$A$1:$F$28"}</definedName>
    <definedName name="HTML_Control" localSheetId="23" hidden="1">{"'A'!$A$1:$F$28"}</definedName>
    <definedName name="HTML_Control" localSheetId="33" hidden="1">{"'A'!$A$1:$F$28"}</definedName>
    <definedName name="HTML_Control" localSheetId="34" hidden="1">{"'A'!$A$1:$F$28"}</definedName>
    <definedName name="HTML_Control" localSheetId="47" hidden="1">{"'A'!$A$1:$F$28"}</definedName>
    <definedName name="HTML_Control" localSheetId="61" hidden="1">{"'A'!$A$1:$F$28"}</definedName>
    <definedName name="HTML_Control" localSheetId="32" hidden="1">{"'A'!$A$1:$F$28"}</definedName>
    <definedName name="HTML_Control" localSheetId="26" hidden="1">{"'A'!$A$1:$F$28"}</definedName>
    <definedName name="HTML_Control" localSheetId="24" hidden="1">{"'A'!$A$1:$F$28"}</definedName>
    <definedName name="HTML_Control" localSheetId="27" hidden="1">{"'A'!$A$1:$F$28"}</definedName>
    <definedName name="HTML_Control" localSheetId="0" hidden="1">{"'A'!$A$1:$F$28"}</definedName>
    <definedName name="HTML_Control" localSheetId="10" hidden="1">{"'A'!$A$1:$F$28"}</definedName>
    <definedName name="HTML_Control" localSheetId="69" hidden="1">{"'A'!$A$1:$F$28"}</definedName>
    <definedName name="HTML_Control" localSheetId="12" hidden="1">{"'A'!$A$1:$F$28"}</definedName>
    <definedName name="HTML_Control" localSheetId="11" hidden="1">{"'A'!$A$1:$F$28"}</definedName>
    <definedName name="HTML_Control" localSheetId="13" hidden="1">{"'A'!$A$1:$F$28"}</definedName>
    <definedName name="HTML_Control" localSheetId="17" hidden="1">{"'A'!$A$1:$F$28"}</definedName>
    <definedName name="HTML_Control" hidden="1">{"'A'!$A$1:$F$28"}</definedName>
    <definedName name="HTML_Description" hidden="1">""</definedName>
    <definedName name="HTML_Email" hidden="1">""</definedName>
    <definedName name="HTML_Header" hidden="1">""</definedName>
    <definedName name="HTML_LastUpdate" hidden="1">"3/15/99"</definedName>
    <definedName name="HTML_LineAfter" hidden="1">FALSE</definedName>
    <definedName name="HTML_LineBefore" hidden="1">FALSE</definedName>
    <definedName name="HTML_Name" hidden="1">"Lori Woods"</definedName>
    <definedName name="HTML_OBDlg2" hidden="1">TRUE</definedName>
    <definedName name="HTML_OBDlg4" hidden="1">TRUE</definedName>
    <definedName name="HTML_OS" hidden="1">0</definedName>
    <definedName name="HTML_PathFile" hidden="1">"N:\MIS\Performance Funding\PF Data 1998\pf7f_98.htm"</definedName>
    <definedName name="HTML_Title" hidden="1">"pf7f_98"</definedName>
    <definedName name="_xlnm.Print_Area" localSheetId="58">'Academic Fees'!$A$1:$F$34</definedName>
    <definedName name="_xlnm.Print_Area" localSheetId="35">'Average Age'!$B$1:$S$33</definedName>
    <definedName name="_xlnm.Print_Area" localSheetId="37">'Black Enrollment History'!$A$1:$J$36</definedName>
    <definedName name="_xlnm.Print_Area" localSheetId="54">'Faculty by Div,Tenure,Degree'!$A$1:$D$35</definedName>
    <definedName name="_xlnm.Print_Area" localSheetId="56">'Faculty by Rank and Gender'!$A$1:$H$35</definedName>
    <definedName name="_xlnm.Print_Area" localSheetId="57">'Faculty Salaries by Rank'!$A$1:$E$31</definedName>
    <definedName name="_xlnm.Print_Area" localSheetId="25">'Fall Headcount by Class'!$A$1:$J$60</definedName>
    <definedName name="_xlnm.Print_Area" localSheetId="59">'financial aid sources'!$A:$Q</definedName>
    <definedName name="_xlnm.Print_Area" localSheetId="4">'Freshmen Application History'!$A$1:$G$36</definedName>
    <definedName name="_xlnm.Print_Area" localSheetId="68">'Freshmen Retention_Attrition'!$A$1:$R$39</definedName>
    <definedName name="_xlnm.Print_Area" localSheetId="7">'Freshmen SAT 91-95'!$A$1:$K$42</definedName>
    <definedName name="_xlnm.Print_Area" localSheetId="8">'Freshmen SAT 96-12'!$A$1:$L$61</definedName>
    <definedName name="_xlnm.Print_Area" localSheetId="15">'NEW Fall CHP by DISC'!$A$1:$AD$118</definedName>
    <definedName name="_xlnm.Print_Area" localSheetId="28">'New Fall college hdcnt by major'!$A$1:$L$129</definedName>
    <definedName name="_xlnm.Print_Area" localSheetId="16">'NEW Fall FTE by DISC'!$A$1:$AD$118</definedName>
    <definedName name="_xlnm.Print_Area" localSheetId="19">'NEW Spring CHP by DISC'!$A$1:$AD$119</definedName>
    <definedName name="_xlnm.Print_Area" localSheetId="20">'NEW Spring FTE by DISC'!$A$1:$AD$119</definedName>
    <definedName name="_xlnm.Print_Area" localSheetId="22">'NEW Summer CHP by DISC'!$A$1:$Y$111</definedName>
    <definedName name="_xlnm.Print_Area" localSheetId="23">'NEW Summer FTE by DISC'!$A$1:$Y$111</definedName>
    <definedName name="_xlnm.Print_Area" localSheetId="26">'Spring Headcount by Class'!$A$1:$J$59</definedName>
    <definedName name="_xlnm.Print_Area" localSheetId="27">'Summer Headcount by Class'!$A$1:$J$59</definedName>
    <definedName name="_xlnm.Print_Area" localSheetId="0">'Table of Contents'!$A$1:$S$86</definedName>
    <definedName name="_xlnm.Print_Area" localSheetId="10">'Transfer Application History'!$A$1:$G$36</definedName>
    <definedName name="_xlnm.Print_Titles" localSheetId="43">'deg conferred 5 yr averages'!$1:$2</definedName>
    <definedName name="_xlnm.Print_Titles" localSheetId="29">'Fal hdct by major 5 yr ave'!$1:$1</definedName>
    <definedName name="_xlnm.Print_Titles" localSheetId="30">'Fall Headcoun by Education Majo'!#REF!</definedName>
    <definedName name="_xlnm.Print_Titles" localSheetId="9">'first time freshmen by high sch'!$1:$4</definedName>
    <definedName name="_xlnm.Print_Titles" localSheetId="42">'New degrees conferred by colleg'!$1:$2</definedName>
    <definedName name="_xlnm.Print_Titles" localSheetId="15">'NEW Fall CHP by DISC'!$1:$2</definedName>
    <definedName name="_xlnm.Print_Titles" localSheetId="28">'New Fall college hdcnt by major'!$1:$1</definedName>
    <definedName name="_xlnm.Print_Titles" localSheetId="16">'NEW Fall FTE by DISC'!$1:$2</definedName>
    <definedName name="_xlnm.Print_Titles" localSheetId="19">'NEW Spring CHP by DISC'!$1:$2</definedName>
    <definedName name="_xlnm.Print_Titles" localSheetId="20">'NEW Spring FTE by DISC'!$1:$2</definedName>
    <definedName name="_xlnm.Print_Titles" localSheetId="22">'NEW Summer CHP by DISC'!$1:$2</definedName>
    <definedName name="_xlnm.Print_Titles" localSheetId="23">'NEW Summer FTE by DISC'!$1:$2</definedName>
    <definedName name="_xlnm.Print_Titles" localSheetId="33">'New Summer hdnt by college'!$1:$1</definedName>
    <definedName name="_xlnm.Print_Titles" localSheetId="32">'Spring college hdcnt by major'!$1:$1</definedName>
    <definedName name="_xlnm.Print_Titles" localSheetId="0">'Table of Contents'!$1:$2</definedName>
    <definedName name="wwwww" localSheetId="62" hidden="1">{"'A'!$A$1:$V$58"}</definedName>
    <definedName name="wwwww" localSheetId="58" hidden="1">{"'A'!$A$1:$V$58"}</definedName>
    <definedName name="wwwww" localSheetId="1" hidden="1">{"'A'!$A$1:$V$58"}</definedName>
    <definedName name="wwwww" localSheetId="60" hidden="1">{"'A'!$A$1:$V$58"}</definedName>
    <definedName name="wwwww" localSheetId="43" hidden="1">{"'A'!$A$1:$V$58"}</definedName>
    <definedName name="wwwww" localSheetId="54" hidden="1">{"'A'!$A$1:$V$58"}</definedName>
    <definedName name="wwwww" localSheetId="56" hidden="1">{"'A'!$A$1:$V$58"}</definedName>
    <definedName name="wwwww" localSheetId="57" hidden="1">{"'A'!$A$1:$V$58"}</definedName>
    <definedName name="wwwww" localSheetId="29" hidden="1">{"'A'!$A$1:$V$58"}</definedName>
    <definedName name="wwwww" localSheetId="36" hidden="1">{"'A'!$A$1:$V$58"}</definedName>
    <definedName name="wwwww" localSheetId="30" hidden="1">{"'A'!$A$1:$V$58"}</definedName>
    <definedName name="wwwww" localSheetId="53" hidden="1">{"'A'!$A$1:$V$58"}</definedName>
    <definedName name="wwwww" localSheetId="4" hidden="1">{"'A'!$A$1:$V$58"}</definedName>
    <definedName name="wwwww" localSheetId="6" hidden="1">{"'A'!$A$1:$V$58"}</definedName>
    <definedName name="wwwww" localSheetId="5" hidden="1">{"'A'!$A$1:$V$58"}</definedName>
    <definedName name="wwwww" localSheetId="68" hidden="1">{"'A'!$A$1:$V$58"}</definedName>
    <definedName name="wwwww" localSheetId="8" hidden="1">{"'A'!$A$1:$V$58"}</definedName>
    <definedName name="wwwww" localSheetId="63" hidden="1">{"'A'!$A$1:$V$58"}</definedName>
    <definedName name="wwwww" localSheetId="64" hidden="1">{"'A'!$A$1:$V$58"}</definedName>
    <definedName name="wwwww" localSheetId="65" hidden="1">{"'A'!$A$1:$V$58"}</definedName>
    <definedName name="wwwww" localSheetId="66" hidden="1">{"'A'!$A$1:$V$58"}</definedName>
    <definedName name="wwwww" localSheetId="48" hidden="1">{"'A'!$A$1:$V$58"}</definedName>
    <definedName name="wwwww" localSheetId="46" hidden="1">{"'A'!$A$1:$V$58"}</definedName>
    <definedName name="wwwww" localSheetId="42" hidden="1">{"'A'!$A$1:$V$58"}</definedName>
    <definedName name="wwwww" localSheetId="15" hidden="1">{"'A'!$A$1:$V$58"}</definedName>
    <definedName name="wwwww" localSheetId="28" hidden="1">{"'A'!$A$1:$V$58"}</definedName>
    <definedName name="wwwww" localSheetId="16" hidden="1">{"'A'!$A$1:$V$58"}</definedName>
    <definedName name="wwwww" localSheetId="19" hidden="1">{"'A'!$A$1:$V$58"}</definedName>
    <definedName name="wwwww" localSheetId="20" hidden="1">{"'A'!$A$1:$V$58"}</definedName>
    <definedName name="wwwww" localSheetId="22" hidden="1">{"'A'!$A$1:$V$58"}</definedName>
    <definedName name="wwwww" localSheetId="23" hidden="1">{"'A'!$A$1:$V$58"}</definedName>
    <definedName name="wwwww" localSheetId="33" hidden="1">{"'A'!$A$1:$V$58"}</definedName>
    <definedName name="wwwww" localSheetId="34" hidden="1">{"'A'!$A$1:$V$58"}</definedName>
    <definedName name="wwwww" localSheetId="47" hidden="1">{"'A'!$A$1:$V$58"}</definedName>
    <definedName name="wwwww" localSheetId="61" hidden="1">{"'A'!$A$1:$V$58"}</definedName>
    <definedName name="wwwww" localSheetId="32" hidden="1">{"'A'!$A$1:$V$58"}</definedName>
    <definedName name="wwwww" localSheetId="26" hidden="1">{"'A'!$A$1:$V$58"}</definedName>
    <definedName name="wwwww" localSheetId="24" hidden="1">{"'A'!$A$1:$V$58"}</definedName>
    <definedName name="wwwww" localSheetId="27" hidden="1">{"'A'!$A$1:$V$58"}</definedName>
    <definedName name="wwwww" localSheetId="0" hidden="1">{"'A'!$A$1:$V$58"}</definedName>
    <definedName name="wwwww" localSheetId="10" hidden="1">{"'A'!$A$1:$V$58"}</definedName>
    <definedName name="wwwww" localSheetId="69" hidden="1">{"'A'!$A$1:$V$58"}</definedName>
    <definedName name="wwwww" localSheetId="12" hidden="1">{"'A'!$A$1:$V$58"}</definedName>
    <definedName name="wwwww" localSheetId="11" hidden="1">{"'A'!$A$1:$V$58"}</definedName>
    <definedName name="wwwww" localSheetId="13" hidden="1">{"'A'!$A$1:$V$58"}</definedName>
    <definedName name="wwwww" localSheetId="17" hidden="1">{"'A'!$A$1:$V$58"}</definedName>
    <definedName name="wwwww" hidden="1">{"'A'!$A$1:$V$58"}</definedName>
  </definedNames>
  <calcPr calcId="152511"/>
</workbook>
</file>

<file path=xl/calcChain.xml><?xml version="1.0" encoding="utf-8"?>
<calcChain xmlns="http://schemas.openxmlformats.org/spreadsheetml/2006/main">
  <c r="D24" i="330" l="1"/>
  <c r="D16" i="330"/>
  <c r="D15" i="330"/>
  <c r="D14" i="330"/>
  <c r="D10" i="330"/>
  <c r="C42" i="329"/>
  <c r="C34" i="329"/>
  <c r="C23" i="329"/>
  <c r="C14" i="329"/>
  <c r="E15" i="326"/>
  <c r="D15" i="326"/>
  <c r="F13" i="326"/>
  <c r="F11" i="326"/>
  <c r="F9" i="326"/>
  <c r="F7" i="326"/>
  <c r="F5" i="326"/>
  <c r="D35" i="324"/>
  <c r="C35" i="324"/>
  <c r="B35" i="324"/>
  <c r="F33" i="323"/>
  <c r="E33" i="323"/>
  <c r="D33" i="323"/>
  <c r="C33" i="323"/>
  <c r="B33" i="323"/>
  <c r="G31" i="323"/>
  <c r="G29" i="323"/>
  <c r="G27" i="323"/>
  <c r="G25" i="323"/>
  <c r="G23" i="323"/>
  <c r="G21" i="323"/>
  <c r="G19" i="323"/>
  <c r="G17" i="323"/>
  <c r="G15" i="323"/>
  <c r="G13" i="323"/>
  <c r="G11" i="323"/>
  <c r="G9" i="323"/>
  <c r="G7" i="323"/>
  <c r="G5" i="323"/>
  <c r="E14" i="322"/>
  <c r="E12" i="322"/>
  <c r="E10" i="322"/>
  <c r="E8" i="322"/>
  <c r="E6" i="322"/>
  <c r="F15" i="326" l="1"/>
  <c r="C25" i="329"/>
  <c r="C38" i="329" s="1"/>
  <c r="C45" i="329" s="1"/>
  <c r="C49" i="329" s="1"/>
  <c r="G33" i="323"/>
  <c r="F7" i="321"/>
  <c r="E7" i="321"/>
  <c r="D7" i="321"/>
  <c r="C7" i="321"/>
  <c r="B7" i="321"/>
  <c r="AI59" i="319"/>
  <c r="AH59" i="319"/>
  <c r="AE59" i="319"/>
  <c r="AD59" i="319"/>
  <c r="AF59" i="319" s="1"/>
  <c r="AA59" i="319"/>
  <c r="Z59" i="319"/>
  <c r="W59" i="319"/>
  <c r="X59" i="319" s="1"/>
  <c r="V59" i="319"/>
  <c r="S59" i="319"/>
  <c r="R59" i="319"/>
  <c r="O59" i="319"/>
  <c r="N59" i="319"/>
  <c r="P59" i="319" s="1"/>
  <c r="K59" i="319"/>
  <c r="J59" i="319"/>
  <c r="G59" i="319"/>
  <c r="H59" i="319" s="1"/>
  <c r="F59" i="319"/>
  <c r="AB58" i="319"/>
  <c r="X58" i="319"/>
  <c r="L58" i="319"/>
  <c r="H58" i="319"/>
  <c r="AF57" i="319"/>
  <c r="AB57" i="319"/>
  <c r="X57" i="319"/>
  <c r="T57" i="319"/>
  <c r="P57" i="319"/>
  <c r="L57" i="319"/>
  <c r="H57" i="319"/>
  <c r="AF56" i="319"/>
  <c r="AB56" i="319"/>
  <c r="X56" i="319"/>
  <c r="T56" i="319"/>
  <c r="P56" i="319"/>
  <c r="L56" i="319"/>
  <c r="H56" i="319"/>
  <c r="AI52" i="319"/>
  <c r="AH52" i="319"/>
  <c r="AE52" i="319"/>
  <c r="AF52" i="319" s="1"/>
  <c r="AD52" i="319"/>
  <c r="AA52" i="319"/>
  <c r="Z52" i="319"/>
  <c r="W52" i="319"/>
  <c r="V52" i="319"/>
  <c r="S52" i="319"/>
  <c r="R52" i="319"/>
  <c r="O52" i="319"/>
  <c r="N52" i="319"/>
  <c r="K52" i="319"/>
  <c r="J52" i="319"/>
  <c r="G52" i="319"/>
  <c r="F52" i="319"/>
  <c r="AF51" i="319"/>
  <c r="AB51" i="319"/>
  <c r="X51" i="319"/>
  <c r="T51" i="319"/>
  <c r="P51" i="319"/>
  <c r="L51" i="319"/>
  <c r="H51" i="319"/>
  <c r="AF50" i="319"/>
  <c r="AB50" i="319"/>
  <c r="X50" i="319"/>
  <c r="T50" i="319"/>
  <c r="P50" i="319"/>
  <c r="L50" i="319"/>
  <c r="H50" i="319"/>
  <c r="AI46" i="319"/>
  <c r="AH46" i="319"/>
  <c r="AE46" i="319"/>
  <c r="AD46" i="319"/>
  <c r="AF46" i="319" s="1"/>
  <c r="AA46" i="319"/>
  <c r="Z46" i="319"/>
  <c r="W46" i="319"/>
  <c r="V46" i="319"/>
  <c r="S46" i="319"/>
  <c r="R46" i="319"/>
  <c r="O46" i="319"/>
  <c r="N46" i="319"/>
  <c r="K46" i="319"/>
  <c r="J46" i="319"/>
  <c r="G46" i="319"/>
  <c r="F46" i="319"/>
  <c r="AF45" i="319"/>
  <c r="AB45" i="319"/>
  <c r="X45" i="319"/>
  <c r="T45" i="319"/>
  <c r="P45" i="319"/>
  <c r="L45" i="319"/>
  <c r="H45" i="319"/>
  <c r="AB44" i="319"/>
  <c r="X44" i="319"/>
  <c r="T44" i="319"/>
  <c r="P44" i="319"/>
  <c r="L44" i="319"/>
  <c r="H44" i="319"/>
  <c r="AF43" i="319"/>
  <c r="AB43" i="319"/>
  <c r="X43" i="319"/>
  <c r="T43" i="319"/>
  <c r="P43" i="319"/>
  <c r="L43" i="319"/>
  <c r="H43" i="319"/>
  <c r="AI39" i="319"/>
  <c r="AH39" i="319"/>
  <c r="AE39" i="319"/>
  <c r="AD39" i="319"/>
  <c r="AF39" i="319" s="1"/>
  <c r="AA39" i="319"/>
  <c r="AB39" i="319" s="1"/>
  <c r="Z39" i="319"/>
  <c r="X39" i="319"/>
  <c r="W39" i="319"/>
  <c r="V39" i="319"/>
  <c r="S39" i="319"/>
  <c r="T39" i="319" s="1"/>
  <c r="R39" i="319"/>
  <c r="O39" i="319"/>
  <c r="N39" i="319"/>
  <c r="P39" i="319" s="1"/>
  <c r="K39" i="319"/>
  <c r="L39" i="319" s="1"/>
  <c r="J39" i="319"/>
  <c r="G39" i="319"/>
  <c r="F39" i="319"/>
  <c r="H39" i="319" s="1"/>
  <c r="X38" i="319"/>
  <c r="T38" i="319"/>
  <c r="P38" i="319"/>
  <c r="L38" i="319"/>
  <c r="H38" i="319"/>
  <c r="X37" i="319"/>
  <c r="T37" i="319"/>
  <c r="P37" i="319"/>
  <c r="L37" i="319"/>
  <c r="H37" i="319"/>
  <c r="X36" i="319"/>
  <c r="T36" i="319"/>
  <c r="P36" i="319"/>
  <c r="L36" i="319"/>
  <c r="H36" i="319"/>
  <c r="AF35" i="319"/>
  <c r="AB35" i="319"/>
  <c r="X35" i="319"/>
  <c r="T35" i="319"/>
  <c r="P35" i="319"/>
  <c r="L35" i="319"/>
  <c r="H35" i="319"/>
  <c r="AF34" i="319"/>
  <c r="AB34" i="319"/>
  <c r="X34" i="319"/>
  <c r="T34" i="319"/>
  <c r="P34" i="319"/>
  <c r="L34" i="319"/>
  <c r="H34" i="319"/>
  <c r="X33" i="319"/>
  <c r="T33" i="319"/>
  <c r="P33" i="319"/>
  <c r="L33" i="319"/>
  <c r="H33" i="319"/>
  <c r="AF32" i="319"/>
  <c r="AB32" i="319"/>
  <c r="X32" i="319"/>
  <c r="T32" i="319"/>
  <c r="P32" i="319"/>
  <c r="L32" i="319"/>
  <c r="H32" i="319"/>
  <c r="AF31" i="319"/>
  <c r="AB31" i="319"/>
  <c r="X31" i="319"/>
  <c r="T31" i="319"/>
  <c r="P31" i="319"/>
  <c r="L31" i="319"/>
  <c r="H31" i="319"/>
  <c r="AF30" i="319"/>
  <c r="AB30" i="319"/>
  <c r="X30" i="319"/>
  <c r="T30" i="319"/>
  <c r="P30" i="319"/>
  <c r="L30" i="319"/>
  <c r="H30" i="319"/>
  <c r="AF29" i="319"/>
  <c r="AB29" i="319"/>
  <c r="X29" i="319"/>
  <c r="T29" i="319"/>
  <c r="P29" i="319"/>
  <c r="L29" i="319"/>
  <c r="H29" i="319"/>
  <c r="AF28" i="319"/>
  <c r="AB28" i="319"/>
  <c r="X28" i="319"/>
  <c r="T28" i="319"/>
  <c r="P28" i="319"/>
  <c r="L28" i="319"/>
  <c r="H28" i="319"/>
  <c r="AI24" i="319"/>
  <c r="AH24" i="319"/>
  <c r="AE24" i="319"/>
  <c r="AD24" i="319"/>
  <c r="AA24" i="319"/>
  <c r="Z24" i="319"/>
  <c r="AB24" i="319" s="1"/>
  <c r="V24" i="319"/>
  <c r="X24" i="319" s="1"/>
  <c r="S24" i="319"/>
  <c r="R24" i="319"/>
  <c r="N24" i="319"/>
  <c r="P24" i="319" s="1"/>
  <c r="K24" i="319"/>
  <c r="L24" i="319" s="1"/>
  <c r="J24" i="319"/>
  <c r="G24" i="319"/>
  <c r="H24" i="319" s="1"/>
  <c r="F24" i="319"/>
  <c r="AF23" i="319"/>
  <c r="AB23" i="319"/>
  <c r="X23" i="319"/>
  <c r="T23" i="319"/>
  <c r="P23" i="319"/>
  <c r="L23" i="319"/>
  <c r="H23" i="319"/>
  <c r="AF22" i="319"/>
  <c r="AB22" i="319"/>
  <c r="X22" i="319"/>
  <c r="T22" i="319"/>
  <c r="P22" i="319"/>
  <c r="L22" i="319"/>
  <c r="H22" i="319"/>
  <c r="AI18" i="319"/>
  <c r="AH18" i="319"/>
  <c r="AE18" i="319"/>
  <c r="AD18" i="319"/>
  <c r="AF18" i="319" s="1"/>
  <c r="AA18" i="319"/>
  <c r="Z18" i="319"/>
  <c r="W18" i="319"/>
  <c r="V18" i="319"/>
  <c r="S18" i="319"/>
  <c r="R18" i="319"/>
  <c r="O18" i="319"/>
  <c r="N18" i="319"/>
  <c r="K18" i="319"/>
  <c r="J18" i="319"/>
  <c r="G18" i="319"/>
  <c r="F18" i="319"/>
  <c r="AF17" i="319"/>
  <c r="AB17" i="319"/>
  <c r="X17" i="319"/>
  <c r="T17" i="319"/>
  <c r="P17" i="319"/>
  <c r="L17" i="319"/>
  <c r="H17" i="319"/>
  <c r="AF16" i="319"/>
  <c r="AB16" i="319"/>
  <c r="X16" i="319"/>
  <c r="T16" i="319"/>
  <c r="P16" i="319"/>
  <c r="L16" i="319"/>
  <c r="H16" i="319"/>
  <c r="AB15" i="319"/>
  <c r="X15" i="319"/>
  <c r="T15" i="319"/>
  <c r="P15" i="319"/>
  <c r="L15" i="319"/>
  <c r="H15" i="319"/>
  <c r="AF14" i="319"/>
  <c r="AB14" i="319"/>
  <c r="X14" i="319"/>
  <c r="T14" i="319"/>
  <c r="P14" i="319"/>
  <c r="L14" i="319"/>
  <c r="H14" i="319"/>
  <c r="AI10" i="319"/>
  <c r="AH10" i="319"/>
  <c r="AE10" i="319"/>
  <c r="AD10" i="319"/>
  <c r="AA10" i="319"/>
  <c r="Z10" i="319"/>
  <c r="W10" i="319"/>
  <c r="V10" i="319"/>
  <c r="S10" i="319"/>
  <c r="R10" i="319"/>
  <c r="O10" i="319"/>
  <c r="N10" i="319"/>
  <c r="K10" i="319"/>
  <c r="J10" i="319"/>
  <c r="G10" i="319"/>
  <c r="F10" i="319"/>
  <c r="AF9" i="319"/>
  <c r="AB9" i="319"/>
  <c r="X9" i="319"/>
  <c r="T9" i="319"/>
  <c r="P9" i="319"/>
  <c r="L9" i="319"/>
  <c r="H9" i="319"/>
  <c r="AB8" i="319"/>
  <c r="X8" i="319"/>
  <c r="T8" i="319"/>
  <c r="P8" i="319"/>
  <c r="AF7" i="319"/>
  <c r="AB7" i="319"/>
  <c r="X7" i="319"/>
  <c r="T7" i="319"/>
  <c r="P7" i="319"/>
  <c r="L7" i="319"/>
  <c r="H7" i="319"/>
  <c r="AB6" i="319"/>
  <c r="X6" i="319"/>
  <c r="T6" i="319"/>
  <c r="P6" i="319"/>
  <c r="AF5" i="319"/>
  <c r="AB5" i="319"/>
  <c r="X5" i="319"/>
  <c r="T5" i="319"/>
  <c r="P5" i="319"/>
  <c r="L5" i="319"/>
  <c r="H5" i="319"/>
  <c r="H10" i="319" l="1"/>
  <c r="P10" i="319"/>
  <c r="X10" i="319"/>
  <c r="P18" i="319"/>
  <c r="T24" i="319"/>
  <c r="AB59" i="319"/>
  <c r="L10" i="319"/>
  <c r="T10" i="319"/>
  <c r="AB10" i="319"/>
  <c r="T18" i="319"/>
  <c r="AF24" i="319"/>
  <c r="P52" i="319"/>
  <c r="S61" i="319"/>
  <c r="U59" i="319" s="1"/>
  <c r="AF10" i="319"/>
  <c r="L18" i="319"/>
  <c r="AH61" i="319"/>
  <c r="H18" i="319"/>
  <c r="X18" i="319"/>
  <c r="L46" i="319"/>
  <c r="U46" i="319"/>
  <c r="T46" i="319"/>
  <c r="AB46" i="319"/>
  <c r="M52" i="319"/>
  <c r="L52" i="319"/>
  <c r="U52" i="319"/>
  <c r="T52" i="319"/>
  <c r="AB52" i="319"/>
  <c r="T59" i="319"/>
  <c r="U24" i="319"/>
  <c r="H52" i="319"/>
  <c r="X52" i="319"/>
  <c r="L59" i="319"/>
  <c r="AB18" i="319"/>
  <c r="AI61" i="319"/>
  <c r="O61" i="319"/>
  <c r="AE61" i="319"/>
  <c r="AF61" i="319" s="1"/>
  <c r="G61" i="319"/>
  <c r="I46" i="319" s="1"/>
  <c r="K61" i="319"/>
  <c r="M46" i="319" s="1"/>
  <c r="W61" i="319"/>
  <c r="Y59" i="319" s="1"/>
  <c r="AA61" i="319"/>
  <c r="AB61" i="319" s="1"/>
  <c r="H46" i="319"/>
  <c r="Q46" i="319"/>
  <c r="P46" i="319"/>
  <c r="X46" i="319"/>
  <c r="I52" i="319" l="1"/>
  <c r="I59" i="319"/>
  <c r="M59" i="319"/>
  <c r="Q61" i="319"/>
  <c r="P61" i="319"/>
  <c r="Q44" i="319"/>
  <c r="Q50" i="319"/>
  <c r="Q24" i="319"/>
  <c r="Q15" i="319"/>
  <c r="Q14" i="319"/>
  <c r="Q9" i="319"/>
  <c r="Q6" i="319"/>
  <c r="Q57" i="319"/>
  <c r="Q39" i="319"/>
  <c r="Q38" i="319"/>
  <c r="Q35" i="319"/>
  <c r="Q23" i="319"/>
  <c r="Q10" i="319"/>
  <c r="Q45" i="319"/>
  <c r="Q43" i="319"/>
  <c r="Q37" i="319"/>
  <c r="Q33" i="319"/>
  <c r="Q32" i="319"/>
  <c r="Q31" i="319"/>
  <c r="Q30" i="319"/>
  <c r="Q29" i="319"/>
  <c r="Q28" i="319"/>
  <c r="Q17" i="319"/>
  <c r="Q16" i="319"/>
  <c r="Q8" i="319"/>
  <c r="Q5" i="319"/>
  <c r="Q51" i="319"/>
  <c r="Q56" i="319"/>
  <c r="Q36" i="319"/>
  <c r="Q34" i="319"/>
  <c r="Q22" i="319"/>
  <c r="Q7" i="319"/>
  <c r="Y46" i="319"/>
  <c r="I57" i="319"/>
  <c r="I15" i="319"/>
  <c r="I14" i="319"/>
  <c r="I9" i="319"/>
  <c r="I58" i="319"/>
  <c r="I45" i="319"/>
  <c r="I18" i="319"/>
  <c r="I8" i="319"/>
  <c r="I5" i="319"/>
  <c r="I39" i="319"/>
  <c r="I36" i="319"/>
  <c r="I34" i="319"/>
  <c r="I22" i="319"/>
  <c r="I10" i="319"/>
  <c r="I7" i="319"/>
  <c r="I6" i="319"/>
  <c r="I61" i="319"/>
  <c r="I51" i="319"/>
  <c r="I44" i="319"/>
  <c r="I43" i="319"/>
  <c r="I37" i="319"/>
  <c r="I33" i="319"/>
  <c r="I32" i="319"/>
  <c r="I31" i="319"/>
  <c r="I30" i="319"/>
  <c r="I29" i="319"/>
  <c r="I28" i="319"/>
  <c r="I17" i="319"/>
  <c r="I16" i="319"/>
  <c r="H61" i="319"/>
  <c r="I56" i="319"/>
  <c r="I50" i="319"/>
  <c r="I38" i="319"/>
  <c r="I35" i="319"/>
  <c r="I23" i="319"/>
  <c r="I24" i="319"/>
  <c r="Y52" i="319"/>
  <c r="Q52" i="319"/>
  <c r="Y44" i="319"/>
  <c r="X61" i="319"/>
  <c r="Y56" i="319"/>
  <c r="Y45" i="319"/>
  <c r="Y15" i="319"/>
  <c r="Y14" i="319"/>
  <c r="Y9" i="319"/>
  <c r="Y6" i="319"/>
  <c r="Y57" i="319"/>
  <c r="Y18" i="319"/>
  <c r="Y36" i="319"/>
  <c r="Y34" i="319"/>
  <c r="Y23" i="319"/>
  <c r="Y22" i="319"/>
  <c r="Y10" i="319"/>
  <c r="Y7" i="319"/>
  <c r="Y61" i="319"/>
  <c r="Y58" i="319"/>
  <c r="Y50" i="319"/>
  <c r="Y43" i="319"/>
  <c r="Y37" i="319"/>
  <c r="Y33" i="319"/>
  <c r="Y32" i="319"/>
  <c r="Y31" i="319"/>
  <c r="Y30" i="319"/>
  <c r="Y29" i="319"/>
  <c r="Y28" i="319"/>
  <c r="Y17" i="319"/>
  <c r="Y16" i="319"/>
  <c r="Y8" i="319"/>
  <c r="Y5" i="319"/>
  <c r="Y51" i="319"/>
  <c r="Y39" i="319"/>
  <c r="Y38" i="319"/>
  <c r="Y35" i="319"/>
  <c r="Y24" i="319"/>
  <c r="Q18" i="319"/>
  <c r="L61" i="319"/>
  <c r="M58" i="319"/>
  <c r="M57" i="319"/>
  <c r="M56" i="319"/>
  <c r="M51" i="319"/>
  <c r="M50" i="319"/>
  <c r="M45" i="319"/>
  <c r="M61" i="319"/>
  <c r="M5" i="319"/>
  <c r="M15" i="319"/>
  <c r="M43" i="319"/>
  <c r="M33" i="319"/>
  <c r="M32" i="319"/>
  <c r="M31" i="319"/>
  <c r="M29" i="319"/>
  <c r="M28" i="319"/>
  <c r="M38" i="319"/>
  <c r="M36" i="319"/>
  <c r="M35" i="319"/>
  <c r="M34" i="319"/>
  <c r="M23" i="319"/>
  <c r="M22" i="319"/>
  <c r="M14" i="319"/>
  <c r="M9" i="319"/>
  <c r="M7" i="319"/>
  <c r="M6" i="319"/>
  <c r="M44" i="319"/>
  <c r="M39" i="319"/>
  <c r="M37" i="319"/>
  <c r="M30" i="319"/>
  <c r="M24" i="319"/>
  <c r="M17" i="319"/>
  <c r="M16" i="319"/>
  <c r="M10" i="319"/>
  <c r="M8" i="319"/>
  <c r="Q59" i="319"/>
  <c r="M18" i="319"/>
  <c r="U57" i="319"/>
  <c r="U56" i="319"/>
  <c r="U51" i="319"/>
  <c r="U50" i="319"/>
  <c r="U45" i="319"/>
  <c r="U61" i="319"/>
  <c r="U5" i="319"/>
  <c r="U44" i="319"/>
  <c r="U14" i="319"/>
  <c r="U43" i="319"/>
  <c r="U39" i="319"/>
  <c r="U37" i="319"/>
  <c r="U32" i="319"/>
  <c r="U31" i="319"/>
  <c r="U30" i="319"/>
  <c r="U28" i="319"/>
  <c r="U17" i="319"/>
  <c r="U8" i="319"/>
  <c r="U38" i="319"/>
  <c r="U36" i="319"/>
  <c r="U35" i="319"/>
  <c r="U34" i="319"/>
  <c r="U23" i="319"/>
  <c r="U22" i="319"/>
  <c r="U15" i="319"/>
  <c r="U7" i="319"/>
  <c r="T61" i="319"/>
  <c r="U9" i="319"/>
  <c r="U33" i="319"/>
  <c r="U29" i="319"/>
  <c r="U18" i="319"/>
  <c r="U16" i="319"/>
  <c r="U10" i="319"/>
  <c r="U6" i="319"/>
  <c r="N43" i="270" l="1"/>
  <c r="M43" i="270"/>
  <c r="L43" i="270"/>
  <c r="K43" i="270"/>
  <c r="J43" i="270"/>
  <c r="N40" i="270"/>
  <c r="M40" i="270"/>
  <c r="L40" i="270"/>
  <c r="K40" i="270"/>
  <c r="J40" i="270"/>
  <c r="I40" i="270"/>
  <c r="H40" i="270"/>
  <c r="G40" i="270"/>
  <c r="F40" i="270"/>
  <c r="E40" i="270"/>
  <c r="D40" i="270"/>
  <c r="C40" i="270"/>
  <c r="B40" i="270"/>
  <c r="O19" i="270"/>
  <c r="N19" i="270"/>
  <c r="M19" i="270"/>
  <c r="L19" i="270"/>
  <c r="K19" i="270"/>
  <c r="J19" i="270"/>
  <c r="I19" i="270"/>
  <c r="H19" i="270"/>
  <c r="G19" i="270"/>
  <c r="F19" i="270"/>
  <c r="E19" i="270"/>
  <c r="D19" i="270"/>
  <c r="C19" i="270"/>
  <c r="B19" i="270"/>
  <c r="M73" i="286" l="1"/>
  <c r="L73" i="286"/>
  <c r="K73" i="286"/>
  <c r="I73" i="286"/>
  <c r="J73" i="286"/>
  <c r="J72" i="286"/>
  <c r="M74" i="286" l="1"/>
  <c r="M72" i="286"/>
  <c r="M71" i="286"/>
  <c r="M26" i="286"/>
  <c r="M39" i="286" s="1"/>
  <c r="M43" i="286" s="1"/>
  <c r="M70" i="286" s="1"/>
  <c r="O65" i="311" l="1"/>
  <c r="O214" i="311" l="1"/>
  <c r="O164" i="311"/>
  <c r="O402" i="311"/>
  <c r="Z63" i="186" l="1"/>
  <c r="AA63" i="186"/>
  <c r="AB63" i="186"/>
  <c r="U63" i="186"/>
  <c r="X63" i="186" s="1"/>
  <c r="V63" i="186"/>
  <c r="W63" i="186"/>
  <c r="P63" i="186"/>
  <c r="Q63" i="186"/>
  <c r="R63" i="186"/>
  <c r="K63" i="186"/>
  <c r="L63" i="186"/>
  <c r="M63" i="186"/>
  <c r="F63" i="186"/>
  <c r="G63" i="186"/>
  <c r="H63" i="186"/>
  <c r="B63" i="186"/>
  <c r="E63" i="186" s="1"/>
  <c r="C63" i="186"/>
  <c r="D63" i="186"/>
  <c r="Z58" i="186"/>
  <c r="AA58" i="186"/>
  <c r="AB58" i="186"/>
  <c r="Z59" i="186"/>
  <c r="AA59" i="186"/>
  <c r="AC59" i="186" s="1"/>
  <c r="AB59" i="186"/>
  <c r="Z60" i="186"/>
  <c r="AA60" i="186"/>
  <c r="AB60" i="186"/>
  <c r="U58" i="186"/>
  <c r="V58" i="186"/>
  <c r="W58" i="186"/>
  <c r="X58" i="186"/>
  <c r="U59" i="186"/>
  <c r="V59" i="186"/>
  <c r="W59" i="186"/>
  <c r="U60" i="186"/>
  <c r="V60" i="186"/>
  <c r="W60" i="186"/>
  <c r="P58" i="186"/>
  <c r="Q58" i="186"/>
  <c r="R58" i="186"/>
  <c r="P59" i="186"/>
  <c r="Q59" i="186"/>
  <c r="R59" i="186"/>
  <c r="P60" i="186"/>
  <c r="Q60" i="186"/>
  <c r="S60" i="186" s="1"/>
  <c r="R60" i="186"/>
  <c r="K58" i="186"/>
  <c r="L58" i="186"/>
  <c r="M58" i="186"/>
  <c r="K59" i="186"/>
  <c r="L59" i="186"/>
  <c r="M59" i="186"/>
  <c r="K60" i="186"/>
  <c r="N60" i="186" s="1"/>
  <c r="L60" i="186"/>
  <c r="M60" i="186"/>
  <c r="F58" i="186"/>
  <c r="I58" i="186" s="1"/>
  <c r="G58" i="186"/>
  <c r="H58" i="186"/>
  <c r="F59" i="186"/>
  <c r="G59" i="186"/>
  <c r="H59" i="186"/>
  <c r="F60" i="186"/>
  <c r="G60" i="186"/>
  <c r="H60" i="186"/>
  <c r="B58" i="186"/>
  <c r="C58" i="186"/>
  <c r="D58" i="186"/>
  <c r="B59" i="186"/>
  <c r="C59" i="186"/>
  <c r="D59" i="186"/>
  <c r="B60" i="186"/>
  <c r="C60" i="186"/>
  <c r="D60" i="186"/>
  <c r="AC58" i="185"/>
  <c r="AC59" i="185"/>
  <c r="AC60" i="185"/>
  <c r="X58" i="185"/>
  <c r="X59" i="185"/>
  <c r="X60" i="185"/>
  <c r="S58" i="185"/>
  <c r="S59" i="185"/>
  <c r="S60" i="185"/>
  <c r="T60" i="185"/>
  <c r="N58" i="185"/>
  <c r="T58" i="185" s="1"/>
  <c r="N59" i="185"/>
  <c r="T59" i="185" s="1"/>
  <c r="N60" i="185"/>
  <c r="I58" i="185"/>
  <c r="I59" i="185"/>
  <c r="I60" i="185"/>
  <c r="E58" i="185"/>
  <c r="E59" i="185"/>
  <c r="J59" i="185" s="1"/>
  <c r="E60" i="185"/>
  <c r="AB61" i="185"/>
  <c r="AA61" i="185"/>
  <c r="Z61" i="185"/>
  <c r="W61" i="185"/>
  <c r="V61" i="185"/>
  <c r="U61" i="185"/>
  <c r="R61" i="185"/>
  <c r="Q61" i="185"/>
  <c r="P61" i="185"/>
  <c r="M61" i="185"/>
  <c r="L61" i="185"/>
  <c r="K61" i="185"/>
  <c r="H61" i="185"/>
  <c r="G61" i="185"/>
  <c r="F61" i="185"/>
  <c r="D61" i="185"/>
  <c r="C61" i="185"/>
  <c r="B61" i="185"/>
  <c r="T60" i="186" l="1"/>
  <c r="S59" i="186"/>
  <c r="I60" i="186"/>
  <c r="O60" i="186" s="1"/>
  <c r="X59" i="186"/>
  <c r="AC58" i="186"/>
  <c r="AD58" i="186" s="1"/>
  <c r="I63" i="186"/>
  <c r="AC63" i="186"/>
  <c r="AD63" i="186"/>
  <c r="Y63" i="186"/>
  <c r="S63" i="186"/>
  <c r="N63" i="186"/>
  <c r="J63" i="186"/>
  <c r="E59" i="186"/>
  <c r="N59" i="186"/>
  <c r="X60" i="186"/>
  <c r="Y60" i="186" s="1"/>
  <c r="AC60" i="186"/>
  <c r="AD60" i="186" s="1"/>
  <c r="E60" i="186"/>
  <c r="I59" i="186"/>
  <c r="J59" i="186" s="1"/>
  <c r="T59" i="186"/>
  <c r="AD59" i="186"/>
  <c r="E58" i="186"/>
  <c r="J58" i="186" s="1"/>
  <c r="N58" i="186"/>
  <c r="S58" i="186"/>
  <c r="Y58" i="186" s="1"/>
  <c r="O58" i="186"/>
  <c r="AD60" i="185"/>
  <c r="AD59" i="185"/>
  <c r="Y60" i="185"/>
  <c r="Y59" i="185"/>
  <c r="Y58" i="185"/>
  <c r="AD58" i="185"/>
  <c r="O60" i="185"/>
  <c r="O59" i="185"/>
  <c r="J60" i="185"/>
  <c r="O58" i="185"/>
  <c r="J58" i="185"/>
  <c r="AB69" i="185"/>
  <c r="AA69" i="185"/>
  <c r="Z69" i="185"/>
  <c r="W69" i="185"/>
  <c r="V69" i="185"/>
  <c r="U69" i="185"/>
  <c r="R69" i="185"/>
  <c r="Q69" i="185"/>
  <c r="P69" i="185"/>
  <c r="M69" i="185"/>
  <c r="L69" i="185"/>
  <c r="K69" i="185"/>
  <c r="H69" i="185"/>
  <c r="G69" i="185"/>
  <c r="F69" i="185"/>
  <c r="D69" i="185"/>
  <c r="C69" i="185"/>
  <c r="B69" i="185"/>
  <c r="AC63" i="185"/>
  <c r="X63" i="185"/>
  <c r="Y63" i="185" s="1"/>
  <c r="S63" i="185"/>
  <c r="N63" i="185"/>
  <c r="I63" i="185"/>
  <c r="E63" i="185"/>
  <c r="O63" i="185" l="1"/>
  <c r="T63" i="185"/>
  <c r="Y59" i="186"/>
  <c r="J63" i="185"/>
  <c r="J60" i="186"/>
  <c r="T63" i="186"/>
  <c r="O63" i="186"/>
  <c r="O59" i="186"/>
  <c r="T58" i="186"/>
  <c r="AD63" i="185"/>
  <c r="Z43" i="186" l="1"/>
  <c r="Z79" i="186" s="1"/>
  <c r="Z26" i="186"/>
  <c r="AB106" i="186"/>
  <c r="AA106" i="186"/>
  <c r="Z106" i="186"/>
  <c r="AB105" i="186"/>
  <c r="AA105" i="186"/>
  <c r="Z105" i="186"/>
  <c r="AB104" i="186"/>
  <c r="AA104" i="186"/>
  <c r="Z104" i="186"/>
  <c r="AB103" i="186"/>
  <c r="AA103" i="186"/>
  <c r="Z103" i="186"/>
  <c r="AB97" i="186"/>
  <c r="AA97" i="186"/>
  <c r="Z97" i="186"/>
  <c r="AB96" i="186"/>
  <c r="AA96" i="186"/>
  <c r="Z96" i="186"/>
  <c r="AB93" i="186"/>
  <c r="AA93" i="186"/>
  <c r="Z93" i="186"/>
  <c r="AB92" i="186"/>
  <c r="AA92" i="186"/>
  <c r="Z92" i="186"/>
  <c r="AB91" i="186"/>
  <c r="AA91" i="186"/>
  <c r="Z91" i="186"/>
  <c r="AB90" i="186"/>
  <c r="AA90" i="186"/>
  <c r="Z90" i="186"/>
  <c r="AB89" i="186"/>
  <c r="AA89" i="186"/>
  <c r="Z89" i="186"/>
  <c r="AB86" i="186"/>
  <c r="AA86" i="186"/>
  <c r="Z86" i="186"/>
  <c r="AB85" i="186"/>
  <c r="AA85" i="186"/>
  <c r="Z85" i="186"/>
  <c r="AB82" i="186"/>
  <c r="AA82" i="186"/>
  <c r="Z82" i="186"/>
  <c r="AB81" i="186"/>
  <c r="AA81" i="186"/>
  <c r="Z81" i="186"/>
  <c r="AB72" i="186"/>
  <c r="AA72" i="186"/>
  <c r="Z72" i="186"/>
  <c r="AB71" i="186"/>
  <c r="AA71" i="186"/>
  <c r="Z71" i="186"/>
  <c r="AB68" i="186"/>
  <c r="AA68" i="186"/>
  <c r="Z68" i="186"/>
  <c r="AB67" i="186"/>
  <c r="AA67" i="186"/>
  <c r="Z67" i="186"/>
  <c r="AB66" i="186"/>
  <c r="AA66" i="186"/>
  <c r="Z66" i="186"/>
  <c r="AB65" i="186"/>
  <c r="AA65" i="186"/>
  <c r="Z65" i="186"/>
  <c r="AB64" i="186"/>
  <c r="AA64" i="186"/>
  <c r="Z64" i="186"/>
  <c r="AB57" i="186"/>
  <c r="AA57" i="186"/>
  <c r="Z57" i="186"/>
  <c r="AB56" i="186"/>
  <c r="AA56" i="186"/>
  <c r="Z56" i="186"/>
  <c r="AB53" i="186"/>
  <c r="AA53" i="186"/>
  <c r="Z53" i="186"/>
  <c r="AB52" i="186"/>
  <c r="AA52" i="186"/>
  <c r="Z52" i="186"/>
  <c r="AB51" i="186"/>
  <c r="AA51" i="186"/>
  <c r="Z51" i="186"/>
  <c r="AB50" i="186"/>
  <c r="AA50" i="186"/>
  <c r="Z50" i="186"/>
  <c r="AB49" i="186"/>
  <c r="AA49" i="186"/>
  <c r="Z49" i="186"/>
  <c r="AB48" i="186"/>
  <c r="AA48" i="186"/>
  <c r="Z48" i="186"/>
  <c r="AB45" i="186"/>
  <c r="AB46" i="186" s="1"/>
  <c r="AA45" i="186"/>
  <c r="AA46" i="186" s="1"/>
  <c r="Z45" i="186"/>
  <c r="Z46" i="186" s="1"/>
  <c r="AB37" i="186"/>
  <c r="AA37" i="186"/>
  <c r="Z37" i="186"/>
  <c r="AB35" i="186"/>
  <c r="AA35" i="186"/>
  <c r="Z35" i="186"/>
  <c r="AB32" i="186"/>
  <c r="AA32" i="186"/>
  <c r="Z32" i="186"/>
  <c r="AB31" i="186"/>
  <c r="AA31" i="186"/>
  <c r="Z31" i="186"/>
  <c r="AB30" i="186"/>
  <c r="AA30" i="186"/>
  <c r="Z30" i="186"/>
  <c r="AB29" i="186"/>
  <c r="AA29" i="186"/>
  <c r="Z29" i="186"/>
  <c r="AB28" i="186"/>
  <c r="AA28" i="186"/>
  <c r="Z28" i="186"/>
  <c r="AB19" i="186"/>
  <c r="AA19" i="186"/>
  <c r="Z19" i="186"/>
  <c r="AB18" i="186"/>
  <c r="AA18" i="186"/>
  <c r="Z18" i="186"/>
  <c r="AB17" i="186"/>
  <c r="AA17" i="186"/>
  <c r="Z17" i="186"/>
  <c r="AB14" i="186"/>
  <c r="AA14" i="186"/>
  <c r="Z14" i="186"/>
  <c r="AB13" i="186"/>
  <c r="AA13" i="186"/>
  <c r="Z13" i="186"/>
  <c r="AB12" i="186"/>
  <c r="AA12" i="186"/>
  <c r="Z12" i="186"/>
  <c r="AB11" i="186"/>
  <c r="AA11" i="186"/>
  <c r="Z11" i="186"/>
  <c r="AB10" i="186"/>
  <c r="AA10" i="186"/>
  <c r="Z10" i="186"/>
  <c r="AB9" i="186"/>
  <c r="AA9" i="186"/>
  <c r="Z9" i="186"/>
  <c r="AB8" i="186"/>
  <c r="AA8" i="186"/>
  <c r="Z8" i="186"/>
  <c r="AB7" i="186"/>
  <c r="AA7" i="186"/>
  <c r="Z7" i="186"/>
  <c r="AB107" i="185"/>
  <c r="AA107" i="185"/>
  <c r="Z107" i="185"/>
  <c r="AC106" i="185"/>
  <c r="AC105" i="185"/>
  <c r="AC104" i="185"/>
  <c r="AC103" i="185"/>
  <c r="AB98" i="185"/>
  <c r="AA98" i="185"/>
  <c r="Z98" i="185"/>
  <c r="AC97" i="185"/>
  <c r="AC96" i="185"/>
  <c r="AB94" i="185"/>
  <c r="AA94" i="185"/>
  <c r="Z94" i="185"/>
  <c r="AC93" i="185"/>
  <c r="AC92" i="185"/>
  <c r="AC91" i="185"/>
  <c r="AC90" i="185"/>
  <c r="AC89" i="185"/>
  <c r="AB87" i="185"/>
  <c r="AA87" i="185"/>
  <c r="Z87" i="185"/>
  <c r="AC86" i="185"/>
  <c r="AC85" i="185"/>
  <c r="AB83" i="185"/>
  <c r="AA83" i="185"/>
  <c r="Z83" i="185"/>
  <c r="AC82" i="185"/>
  <c r="AC81" i="185"/>
  <c r="AB73" i="185"/>
  <c r="AA73" i="185"/>
  <c r="Z73" i="185"/>
  <c r="AC72" i="185"/>
  <c r="AC71" i="185"/>
  <c r="AC68" i="185"/>
  <c r="AC67" i="185"/>
  <c r="AC66" i="185"/>
  <c r="AC65" i="185"/>
  <c r="AC64" i="185"/>
  <c r="AC57" i="185"/>
  <c r="AC56" i="185"/>
  <c r="AB54" i="185"/>
  <c r="AA54" i="185"/>
  <c r="Z54" i="185"/>
  <c r="AC53" i="185"/>
  <c r="AC52" i="185"/>
  <c r="AC51" i="185"/>
  <c r="AC50" i="185"/>
  <c r="AC49" i="185"/>
  <c r="AC48" i="185"/>
  <c r="AB46" i="185"/>
  <c r="AA46" i="185"/>
  <c r="Z46" i="185"/>
  <c r="AC45" i="185"/>
  <c r="AC46" i="185" s="1"/>
  <c r="AC37" i="185"/>
  <c r="AC35" i="185"/>
  <c r="AB33" i="185"/>
  <c r="AB38" i="185" s="1"/>
  <c r="AA33" i="185"/>
  <c r="AA38" i="185" s="1"/>
  <c r="Z33" i="185"/>
  <c r="Z38" i="185" s="1"/>
  <c r="AC32" i="185"/>
  <c r="AC31" i="185"/>
  <c r="AC30" i="185"/>
  <c r="AC29" i="185"/>
  <c r="AC28" i="185"/>
  <c r="AB20" i="185"/>
  <c r="AA20" i="185"/>
  <c r="Z20" i="185"/>
  <c r="AC19" i="185"/>
  <c r="AC18" i="185"/>
  <c r="AC17" i="185"/>
  <c r="AB15" i="185"/>
  <c r="AA15" i="185"/>
  <c r="Z15" i="185"/>
  <c r="AC14" i="185"/>
  <c r="AC13" i="185"/>
  <c r="AC12" i="185"/>
  <c r="AC11" i="185"/>
  <c r="AC10" i="185"/>
  <c r="AC9" i="185"/>
  <c r="AC8" i="185"/>
  <c r="AC7" i="185"/>
  <c r="G13" i="233"/>
  <c r="D13" i="233"/>
  <c r="G11" i="233"/>
  <c r="D11" i="233"/>
  <c r="G9" i="233"/>
  <c r="D9" i="233"/>
  <c r="G7" i="233"/>
  <c r="D7" i="233"/>
  <c r="AA69" i="186" l="1"/>
  <c r="AB69" i="186"/>
  <c r="AB61" i="186"/>
  <c r="Z69" i="186"/>
  <c r="AA61" i="186"/>
  <c r="Z61" i="186"/>
  <c r="AA21" i="185"/>
  <c r="AC61" i="185"/>
  <c r="AC81" i="186"/>
  <c r="AB83" i="186"/>
  <c r="AC89" i="186"/>
  <c r="AC104" i="186"/>
  <c r="AC106" i="186"/>
  <c r="AC64" i="186"/>
  <c r="AC68" i="186"/>
  <c r="AC72" i="186"/>
  <c r="Z107" i="186"/>
  <c r="AC97" i="186"/>
  <c r="AB73" i="186"/>
  <c r="AC30" i="186"/>
  <c r="AC13" i="186"/>
  <c r="Z20" i="186"/>
  <c r="AC11" i="186"/>
  <c r="AC69" i="185"/>
  <c r="AC52" i="186"/>
  <c r="Z87" i="186"/>
  <c r="AC18" i="186"/>
  <c r="AA98" i="186"/>
  <c r="AC17" i="186"/>
  <c r="AC35" i="186"/>
  <c r="AC93" i="186"/>
  <c r="AC31" i="186"/>
  <c r="AC33" i="185"/>
  <c r="AC87" i="185"/>
  <c r="AB98" i="186"/>
  <c r="AC73" i="185"/>
  <c r="AC50" i="186"/>
  <c r="AB54" i="186"/>
  <c r="AC49" i="186"/>
  <c r="Z21" i="185"/>
  <c r="Z15" i="186"/>
  <c r="AA107" i="186"/>
  <c r="AC107" i="185"/>
  <c r="AC103" i="186"/>
  <c r="AC105" i="186"/>
  <c r="AC98" i="185"/>
  <c r="AB99" i="185"/>
  <c r="AC96" i="186"/>
  <c r="Z94" i="186"/>
  <c r="AC91" i="186"/>
  <c r="AA99" i="185"/>
  <c r="AA94" i="186"/>
  <c r="AC94" i="185"/>
  <c r="AC90" i="186"/>
  <c r="AC92" i="186"/>
  <c r="Z99" i="185"/>
  <c r="AB87" i="186"/>
  <c r="AC86" i="186"/>
  <c r="AC82" i="186"/>
  <c r="AA83" i="186"/>
  <c r="AC83" i="185"/>
  <c r="AB74" i="185"/>
  <c r="Z74" i="185"/>
  <c r="AA73" i="186"/>
  <c r="AC66" i="186"/>
  <c r="AA74" i="185"/>
  <c r="AC67" i="186"/>
  <c r="AC56" i="186"/>
  <c r="AC57" i="186"/>
  <c r="AC51" i="186"/>
  <c r="AA54" i="186"/>
  <c r="AC53" i="186"/>
  <c r="AC45" i="186"/>
  <c r="AC46" i="186" s="1"/>
  <c r="AC28" i="186"/>
  <c r="AB33" i="186"/>
  <c r="AB38" i="186" s="1"/>
  <c r="AC32" i="186"/>
  <c r="AC29" i="186"/>
  <c r="AC20" i="185"/>
  <c r="AA20" i="186"/>
  <c r="AB15" i="186"/>
  <c r="AC8" i="186"/>
  <c r="AC10" i="186"/>
  <c r="AC15" i="185"/>
  <c r="AA15" i="186"/>
  <c r="AB21" i="185"/>
  <c r="AC7" i="186"/>
  <c r="AC9" i="186"/>
  <c r="AC12" i="186"/>
  <c r="AC14" i="186"/>
  <c r="AB107" i="186"/>
  <c r="AB94" i="186"/>
  <c r="Z83" i="186"/>
  <c r="AC85" i="186"/>
  <c r="AA87" i="186"/>
  <c r="Z98" i="186"/>
  <c r="Z54" i="186"/>
  <c r="AC65" i="186"/>
  <c r="Z73" i="186"/>
  <c r="AC48" i="186"/>
  <c r="AC71" i="186"/>
  <c r="Z33" i="186"/>
  <c r="Z38" i="186" s="1"/>
  <c r="AA33" i="186"/>
  <c r="AA38" i="186" s="1"/>
  <c r="AC37" i="186"/>
  <c r="AC19" i="186"/>
  <c r="AB20" i="186"/>
  <c r="AC54" i="185"/>
  <c r="P71" i="273"/>
  <c r="P70" i="273"/>
  <c r="P69" i="273"/>
  <c r="P68" i="273"/>
  <c r="N71" i="273"/>
  <c r="N70" i="273"/>
  <c r="N69" i="273"/>
  <c r="N68" i="273"/>
  <c r="L71" i="273"/>
  <c r="L70" i="273"/>
  <c r="L69" i="273"/>
  <c r="L68" i="273"/>
  <c r="J71" i="273"/>
  <c r="J70" i="273"/>
  <c r="J69" i="273"/>
  <c r="J68" i="273"/>
  <c r="H71" i="273"/>
  <c r="H70" i="273"/>
  <c r="H69" i="273"/>
  <c r="H68" i="273"/>
  <c r="F71" i="273"/>
  <c r="F70" i="273"/>
  <c r="F69" i="273"/>
  <c r="F68" i="273"/>
  <c r="D71" i="273"/>
  <c r="D70" i="273"/>
  <c r="D69" i="273"/>
  <c r="D68" i="273"/>
  <c r="AC69" i="186" l="1"/>
  <c r="AC61" i="186"/>
  <c r="AC83" i="186"/>
  <c r="AC38" i="185"/>
  <c r="Z21" i="186"/>
  <c r="Z74" i="186"/>
  <c r="AA110" i="185"/>
  <c r="AC33" i="186"/>
  <c r="AB99" i="186"/>
  <c r="AB74" i="186"/>
  <c r="Z110" i="185"/>
  <c r="AC21" i="185"/>
  <c r="AC107" i="186"/>
  <c r="AC98" i="186"/>
  <c r="AB110" i="185"/>
  <c r="AC99" i="185"/>
  <c r="AC94" i="186"/>
  <c r="AA99" i="186"/>
  <c r="AA74" i="186"/>
  <c r="AA21" i="186"/>
  <c r="AC15" i="186"/>
  <c r="AB21" i="186"/>
  <c r="AC87" i="186"/>
  <c r="Z99" i="186"/>
  <c r="AC73" i="186"/>
  <c r="AC54" i="186"/>
  <c r="AC20" i="186"/>
  <c r="AC74" i="185"/>
  <c r="O121" i="273"/>
  <c r="P120" i="273"/>
  <c r="P119" i="273"/>
  <c r="P118" i="273"/>
  <c r="O114" i="273"/>
  <c r="P113" i="273"/>
  <c r="P112" i="273"/>
  <c r="P111" i="273"/>
  <c r="P110" i="273"/>
  <c r="P109" i="273"/>
  <c r="P108" i="273"/>
  <c r="P107" i="273"/>
  <c r="P106" i="273"/>
  <c r="P105" i="273"/>
  <c r="P104" i="273"/>
  <c r="P103" i="273"/>
  <c r="O101" i="273"/>
  <c r="P100" i="273"/>
  <c r="P99" i="273"/>
  <c r="P98" i="273"/>
  <c r="P97" i="273"/>
  <c r="P96" i="273"/>
  <c r="P95" i="273"/>
  <c r="P94" i="273"/>
  <c r="O89" i="273"/>
  <c r="P88" i="273"/>
  <c r="P87" i="273"/>
  <c r="P86" i="273"/>
  <c r="P85" i="273"/>
  <c r="P84" i="273"/>
  <c r="O82" i="273"/>
  <c r="P81" i="273"/>
  <c r="P80" i="273"/>
  <c r="P79" i="273"/>
  <c r="P78" i="273"/>
  <c r="P77" i="273"/>
  <c r="P76" i="273"/>
  <c r="P75" i="273"/>
  <c r="O73" i="273"/>
  <c r="P72" i="273"/>
  <c r="P67" i="273"/>
  <c r="P66" i="273"/>
  <c r="P65" i="273"/>
  <c r="P64" i="273"/>
  <c r="P63" i="273"/>
  <c r="P62" i="273"/>
  <c r="P61" i="273"/>
  <c r="P60" i="273"/>
  <c r="P59" i="273"/>
  <c r="O54" i="273"/>
  <c r="P53" i="273"/>
  <c r="P52" i="273"/>
  <c r="O50" i="273"/>
  <c r="P49" i="273"/>
  <c r="P48" i="273"/>
  <c r="P47" i="273"/>
  <c r="O45" i="273"/>
  <c r="P44" i="273"/>
  <c r="P43" i="273"/>
  <c r="O41" i="273"/>
  <c r="P40" i="273"/>
  <c r="P39" i="273"/>
  <c r="P38" i="273"/>
  <c r="P37" i="273"/>
  <c r="O35" i="273"/>
  <c r="P34" i="273"/>
  <c r="P33" i="273"/>
  <c r="O28" i="273"/>
  <c r="P27" i="273"/>
  <c r="P26" i="273"/>
  <c r="P25" i="273"/>
  <c r="O23" i="273"/>
  <c r="P22" i="273"/>
  <c r="P21" i="273"/>
  <c r="P20" i="273"/>
  <c r="P19" i="273"/>
  <c r="O17" i="273"/>
  <c r="P16" i="273"/>
  <c r="P15" i="273"/>
  <c r="P14" i="273"/>
  <c r="P13" i="273"/>
  <c r="P12" i="273"/>
  <c r="P11" i="273"/>
  <c r="P10" i="273"/>
  <c r="O8" i="273"/>
  <c r="P7" i="273"/>
  <c r="P6" i="273"/>
  <c r="P5" i="273"/>
  <c r="T13" i="234"/>
  <c r="T12" i="234"/>
  <c r="T11" i="234"/>
  <c r="T10" i="234"/>
  <c r="T9" i="234"/>
  <c r="T8" i="234"/>
  <c r="T7" i="234"/>
  <c r="T6" i="234"/>
  <c r="K24" i="234"/>
  <c r="L22" i="234"/>
  <c r="L20" i="234"/>
  <c r="K18" i="234"/>
  <c r="L16" i="234"/>
  <c r="L14" i="234"/>
  <c r="L12" i="234"/>
  <c r="L10" i="234"/>
  <c r="L8" i="234"/>
  <c r="L6" i="234"/>
  <c r="Z110" i="186" l="1"/>
  <c r="AC38" i="186"/>
  <c r="AC99" i="186"/>
  <c r="AB110" i="186"/>
  <c r="AA110" i="186"/>
  <c r="AC110" i="185"/>
  <c r="AC74" i="186"/>
  <c r="AC21" i="186"/>
  <c r="O115" i="273"/>
  <c r="O90" i="273"/>
  <c r="O55" i="273"/>
  <c r="O29" i="273"/>
  <c r="K26" i="234"/>
  <c r="P35" i="37"/>
  <c r="N35" i="37"/>
  <c r="L35" i="37"/>
  <c r="F35" i="37"/>
  <c r="F25" i="37"/>
  <c r="L25" i="37"/>
  <c r="N25" i="37"/>
  <c r="R25" i="37" s="1"/>
  <c r="P25" i="37"/>
  <c r="AC110" i="186" l="1"/>
  <c r="O122" i="273"/>
  <c r="G25" i="37"/>
  <c r="E25" i="37"/>
  <c r="O25" i="37"/>
  <c r="K25" i="37"/>
  <c r="R35" i="37"/>
  <c r="Q35" i="37" s="1"/>
  <c r="I25" i="37"/>
  <c r="C25" i="37"/>
  <c r="Q25" i="37"/>
  <c r="M25" i="37"/>
  <c r="S25" i="37" s="1"/>
  <c r="N386" i="311"/>
  <c r="M386" i="311"/>
  <c r="L386" i="311"/>
  <c r="K386" i="311"/>
  <c r="J386" i="311"/>
  <c r="I386" i="311"/>
  <c r="H386" i="311"/>
  <c r="G386" i="311"/>
  <c r="F386" i="311"/>
  <c r="E386" i="311"/>
  <c r="D386" i="311"/>
  <c r="C386" i="311"/>
  <c r="B386" i="311"/>
  <c r="O35" i="37" l="1"/>
  <c r="M35" i="37"/>
  <c r="K35" i="37"/>
  <c r="E35" i="37"/>
  <c r="I35" i="37"/>
  <c r="C35" i="37"/>
  <c r="G35" i="37"/>
  <c r="S35" i="37" s="1"/>
  <c r="L15" i="318"/>
  <c r="P28" i="318" l="1"/>
  <c r="M45" i="318"/>
  <c r="M44" i="318" s="1"/>
  <c r="P44" i="318"/>
  <c r="O44" i="318"/>
  <c r="N44" i="318"/>
  <c r="P40" i="318"/>
  <c r="P41" i="318" s="1"/>
  <c r="O40" i="318"/>
  <c r="O41" i="318" s="1"/>
  <c r="N40" i="318"/>
  <c r="N41" i="318" s="1"/>
  <c r="M40" i="318"/>
  <c r="M41" i="318" s="1"/>
  <c r="L40" i="318"/>
  <c r="L41" i="318" s="1"/>
  <c r="K40" i="318"/>
  <c r="K41" i="318" s="1"/>
  <c r="J40" i="318"/>
  <c r="J41" i="318" s="1"/>
  <c r="I40" i="318"/>
  <c r="I41" i="318" s="1"/>
  <c r="H40" i="318"/>
  <c r="H41" i="318" s="1"/>
  <c r="G40" i="318"/>
  <c r="G41" i="318" s="1"/>
  <c r="F40" i="318"/>
  <c r="F41" i="318" s="1"/>
  <c r="E40" i="318"/>
  <c r="E41" i="318" s="1"/>
  <c r="D40" i="318"/>
  <c r="D41" i="318" s="1"/>
  <c r="C40" i="318"/>
  <c r="C41" i="318" s="1"/>
  <c r="B40" i="318"/>
  <c r="B41" i="318" s="1"/>
  <c r="P29" i="318"/>
  <c r="K28" i="318"/>
  <c r="K29" i="318" s="1"/>
  <c r="J28" i="318"/>
  <c r="J29" i="318" s="1"/>
  <c r="I28" i="318"/>
  <c r="I29" i="318" s="1"/>
  <c r="H28" i="318"/>
  <c r="H29" i="318" s="1"/>
  <c r="G28" i="318"/>
  <c r="G29" i="318" s="1"/>
  <c r="F28" i="318"/>
  <c r="F29" i="318" s="1"/>
  <c r="E28" i="318"/>
  <c r="E29" i="318" s="1"/>
  <c r="D28" i="318"/>
  <c r="D29" i="318" s="1"/>
  <c r="C28" i="318"/>
  <c r="C29" i="318" s="1"/>
  <c r="B28" i="318"/>
  <c r="B29" i="318" s="1"/>
  <c r="P26" i="318"/>
  <c r="O26" i="318"/>
  <c r="N26" i="318"/>
  <c r="M26" i="318"/>
  <c r="O23" i="318"/>
  <c r="N23" i="318"/>
  <c r="M23" i="318"/>
  <c r="L23" i="318"/>
  <c r="L28" i="318" s="1"/>
  <c r="O20" i="318"/>
  <c r="O28" i="318" s="1"/>
  <c r="N20" i="318"/>
  <c r="N28" i="318" s="1"/>
  <c r="M20" i="318"/>
  <c r="M28" i="318" s="1"/>
  <c r="P15" i="318"/>
  <c r="O15" i="318"/>
  <c r="N15" i="318"/>
  <c r="M15" i="318"/>
  <c r="K15" i="318"/>
  <c r="J15" i="318"/>
  <c r="H15" i="318"/>
  <c r="G15" i="318"/>
  <c r="F15" i="318"/>
  <c r="O29" i="318" l="1"/>
  <c r="M29" i="318"/>
  <c r="N29" i="318"/>
  <c r="AE32" i="261"/>
  <c r="AC32" i="261"/>
  <c r="AA32" i="261"/>
  <c r="Y32" i="261"/>
  <c r="W32" i="261"/>
  <c r="U32" i="261"/>
  <c r="S32" i="261"/>
  <c r="Q32" i="261"/>
  <c r="O32" i="261"/>
  <c r="M32" i="261"/>
  <c r="K32" i="261"/>
  <c r="I32" i="261"/>
  <c r="G32" i="261"/>
  <c r="AE15" i="261"/>
  <c r="AC15" i="261"/>
  <c r="AA15" i="261"/>
  <c r="Y15" i="261"/>
  <c r="W15" i="261"/>
  <c r="U15" i="261"/>
  <c r="S15" i="261"/>
  <c r="Q15" i="261"/>
  <c r="O15" i="261"/>
  <c r="M15" i="261"/>
  <c r="K15" i="261"/>
  <c r="I15" i="261"/>
  <c r="G15" i="261"/>
  <c r="AE46" i="261"/>
  <c r="AD44" i="261"/>
  <c r="AD45" i="261" s="1"/>
  <c r="AE43" i="261"/>
  <c r="AE42" i="261"/>
  <c r="AE41" i="261"/>
  <c r="AE40" i="261"/>
  <c r="AE39" i="261"/>
  <c r="AE38" i="261"/>
  <c r="AE37" i="261"/>
  <c r="AE36" i="261"/>
  <c r="AE35" i="261"/>
  <c r="AE34" i="261"/>
  <c r="AE33" i="261"/>
  <c r="AE31" i="261"/>
  <c r="AE30" i="261"/>
  <c r="AE29" i="261"/>
  <c r="AE28" i="261"/>
  <c r="AE27" i="261"/>
  <c r="AE26" i="261"/>
  <c r="AE25" i="261"/>
  <c r="AE24" i="261"/>
  <c r="AE23" i="261"/>
  <c r="AE22" i="261"/>
  <c r="AE21" i="261"/>
  <c r="AE20" i="261"/>
  <c r="AE19" i="261"/>
  <c r="AE18" i="261"/>
  <c r="AE17" i="261"/>
  <c r="AE16" i="261"/>
  <c r="AE14" i="261"/>
  <c r="AE13" i="261"/>
  <c r="AE12" i="261"/>
  <c r="AE11" i="261"/>
  <c r="AE10" i="261"/>
  <c r="AE9" i="261"/>
  <c r="AE8" i="261"/>
  <c r="AE7" i="261"/>
  <c r="AE6" i="261"/>
  <c r="AE5" i="261"/>
  <c r="AC46" i="261"/>
  <c r="AC43" i="261"/>
  <c r="AC42" i="261"/>
  <c r="AC41" i="261"/>
  <c r="AC40" i="261"/>
  <c r="AC39" i="261"/>
  <c r="AC38" i="261"/>
  <c r="AC37" i="261"/>
  <c r="AC36" i="261"/>
  <c r="AC35" i="261"/>
  <c r="AC34" i="261"/>
  <c r="AC33" i="261"/>
  <c r="AC31" i="261"/>
  <c r="AC30" i="261"/>
  <c r="AC29" i="261"/>
  <c r="AC28" i="261"/>
  <c r="AC27" i="261"/>
  <c r="AC26" i="261"/>
  <c r="AC25" i="261"/>
  <c r="AC24" i="261"/>
  <c r="AC23" i="261"/>
  <c r="AC22" i="261"/>
  <c r="AC21" i="261"/>
  <c r="AC20" i="261"/>
  <c r="AC19" i="261"/>
  <c r="AC18" i="261"/>
  <c r="AC17" i="261"/>
  <c r="AC16" i="261"/>
  <c r="AC14" i="261"/>
  <c r="AC13" i="261"/>
  <c r="AC12" i="261"/>
  <c r="AC11" i="261"/>
  <c r="AC10" i="261"/>
  <c r="AC9" i="261"/>
  <c r="AC8" i="261"/>
  <c r="AC7" i="261"/>
  <c r="AC6" i="261"/>
  <c r="AC5" i="261"/>
  <c r="AD48" i="261" l="1"/>
  <c r="K12" i="276" l="1"/>
  <c r="L43" i="39" l="1"/>
  <c r="L44" i="39" s="1"/>
  <c r="L39" i="187"/>
  <c r="L47" i="39" l="1"/>
  <c r="O88" i="311"/>
  <c r="O451" i="311" l="1"/>
  <c r="O450" i="311"/>
  <c r="O449" i="311"/>
  <c r="O448" i="311"/>
  <c r="O447" i="311"/>
  <c r="O446" i="311"/>
  <c r="O443" i="311"/>
  <c r="O442" i="311"/>
  <c r="O441" i="311"/>
  <c r="O440" i="311"/>
  <c r="O439" i="311"/>
  <c r="O438" i="311"/>
  <c r="O437" i="311"/>
  <c r="O436" i="311"/>
  <c r="O435" i="311"/>
  <c r="O434" i="311"/>
  <c r="O431" i="311"/>
  <c r="O430" i="311"/>
  <c r="O429" i="311"/>
  <c r="O428" i="311"/>
  <c r="O427" i="311"/>
  <c r="O424" i="311"/>
  <c r="O423" i="311"/>
  <c r="O422" i="311"/>
  <c r="O421" i="311"/>
  <c r="O418" i="311"/>
  <c r="O417" i="311"/>
  <c r="O416" i="311"/>
  <c r="O415" i="311"/>
  <c r="O414" i="311"/>
  <c r="O413" i="311"/>
  <c r="O412" i="311"/>
  <c r="O411" i="311"/>
  <c r="O410" i="311"/>
  <c r="O409" i="311"/>
  <c r="O406" i="311"/>
  <c r="O405" i="311"/>
  <c r="O404" i="311"/>
  <c r="O403" i="311"/>
  <c r="O401" i="311"/>
  <c r="O400" i="311"/>
  <c r="O399" i="311"/>
  <c r="O398" i="311"/>
  <c r="O397" i="311"/>
  <c r="O396" i="311"/>
  <c r="O395" i="311"/>
  <c r="O394" i="311"/>
  <c r="O393" i="311"/>
  <c r="O392" i="311"/>
  <c r="O391" i="311"/>
  <c r="O388" i="311"/>
  <c r="O385" i="311"/>
  <c r="O384" i="311"/>
  <c r="O383" i="311"/>
  <c r="O382" i="311"/>
  <c r="O381" i="311"/>
  <c r="O380" i="311"/>
  <c r="O379" i="311"/>
  <c r="O378" i="311"/>
  <c r="O377" i="311"/>
  <c r="O376" i="311"/>
  <c r="O375" i="311"/>
  <c r="O374" i="311"/>
  <c r="O373" i="311"/>
  <c r="O372" i="311"/>
  <c r="O371" i="311"/>
  <c r="O370" i="311"/>
  <c r="O369" i="311"/>
  <c r="O368" i="311"/>
  <c r="O367" i="311"/>
  <c r="O366" i="311"/>
  <c r="O365" i="311"/>
  <c r="O364" i="311"/>
  <c r="O363" i="311"/>
  <c r="O362" i="311"/>
  <c r="O361" i="311"/>
  <c r="O358" i="311"/>
  <c r="O357" i="311"/>
  <c r="O356" i="311"/>
  <c r="O355" i="311"/>
  <c r="O354" i="311"/>
  <c r="O351" i="311"/>
  <c r="O350" i="311"/>
  <c r="O349" i="311"/>
  <c r="O348" i="311"/>
  <c r="O347" i="311"/>
  <c r="O346" i="311"/>
  <c r="O345" i="311"/>
  <c r="O344" i="311"/>
  <c r="O343" i="311"/>
  <c r="O342" i="311"/>
  <c r="O341" i="311"/>
  <c r="O340" i="311"/>
  <c r="O337" i="311"/>
  <c r="O336" i="311"/>
  <c r="O335" i="311"/>
  <c r="O334" i="311"/>
  <c r="O333" i="311"/>
  <c r="O330" i="311"/>
  <c r="O329" i="311"/>
  <c r="O328" i="311"/>
  <c r="O327" i="311"/>
  <c r="O324" i="311"/>
  <c r="O323" i="311"/>
  <c r="O320" i="311"/>
  <c r="O319" i="311"/>
  <c r="O318" i="311"/>
  <c r="O317" i="311"/>
  <c r="O316" i="311"/>
  <c r="O315" i="311"/>
  <c r="O312" i="311"/>
  <c r="O311" i="311"/>
  <c r="O308" i="311"/>
  <c r="O307" i="311"/>
  <c r="O306" i="311"/>
  <c r="O305" i="311"/>
  <c r="O304" i="311"/>
  <c r="O303" i="311"/>
  <c r="O302" i="311"/>
  <c r="O301" i="311"/>
  <c r="O300" i="311"/>
  <c r="O299" i="311"/>
  <c r="O298" i="311"/>
  <c r="O297" i="311"/>
  <c r="O296" i="311"/>
  <c r="O295" i="311"/>
  <c r="O294" i="311"/>
  <c r="O293" i="311"/>
  <c r="O290" i="311"/>
  <c r="O289" i="311"/>
  <c r="O288" i="311"/>
  <c r="O287" i="311"/>
  <c r="O286" i="311"/>
  <c r="O283" i="311"/>
  <c r="O282" i="311"/>
  <c r="O281" i="311"/>
  <c r="O280" i="311"/>
  <c r="O277" i="311"/>
  <c r="O276" i="311"/>
  <c r="O275" i="311"/>
  <c r="O274" i="311"/>
  <c r="O271" i="311"/>
  <c r="O270" i="311"/>
  <c r="O269" i="311"/>
  <c r="O268" i="311"/>
  <c r="O267" i="311"/>
  <c r="O264" i="311"/>
  <c r="O263" i="311"/>
  <c r="O262" i="311"/>
  <c r="O261" i="311"/>
  <c r="O258" i="311"/>
  <c r="O257" i="311"/>
  <c r="O256" i="311"/>
  <c r="O255" i="311"/>
  <c r="O254" i="311"/>
  <c r="O253" i="311"/>
  <c r="O252" i="311"/>
  <c r="O251" i="311"/>
  <c r="O250" i="311"/>
  <c r="O247" i="311"/>
  <c r="O246" i="311"/>
  <c r="O245" i="311"/>
  <c r="O242" i="311"/>
  <c r="O241" i="311"/>
  <c r="O240" i="311"/>
  <c r="O239" i="311"/>
  <c r="O238" i="311"/>
  <c r="O237" i="311"/>
  <c r="O236" i="311"/>
  <c r="O235" i="311"/>
  <c r="O234" i="311"/>
  <c r="O233" i="311"/>
  <c r="O230" i="311"/>
  <c r="O229" i="311"/>
  <c r="O228" i="311"/>
  <c r="O227" i="311"/>
  <c r="O226" i="311"/>
  <c r="O225" i="311"/>
  <c r="O224" i="311"/>
  <c r="O223" i="311"/>
  <c r="O222" i="311"/>
  <c r="O221" i="311"/>
  <c r="O220" i="311"/>
  <c r="O219" i="311"/>
  <c r="O218" i="311"/>
  <c r="O217" i="311"/>
  <c r="O216" i="311"/>
  <c r="O215" i="311"/>
  <c r="O213" i="311"/>
  <c r="O212" i="311"/>
  <c r="O211" i="311"/>
  <c r="O210" i="311"/>
  <c r="O209" i="311"/>
  <c r="O208" i="311"/>
  <c r="O207" i="311"/>
  <c r="O206" i="311"/>
  <c r="O205" i="311"/>
  <c r="O204" i="311"/>
  <c r="O201" i="311"/>
  <c r="O200" i="311"/>
  <c r="O199" i="311"/>
  <c r="O198" i="311"/>
  <c r="O197" i="311"/>
  <c r="O196" i="311"/>
  <c r="O195" i="311"/>
  <c r="O192" i="311"/>
  <c r="O191" i="311"/>
  <c r="O190" i="311"/>
  <c r="O189" i="311"/>
  <c r="O188" i="311"/>
  <c r="O187" i="311"/>
  <c r="O186" i="311"/>
  <c r="O185" i="311"/>
  <c r="O184" i="311"/>
  <c r="O183" i="311"/>
  <c r="O182" i="311"/>
  <c r="O179" i="311"/>
  <c r="O178" i="311"/>
  <c r="O175" i="311"/>
  <c r="O174" i="311"/>
  <c r="O171" i="311"/>
  <c r="O170" i="311"/>
  <c r="O169" i="311"/>
  <c r="O168" i="311"/>
  <c r="O167" i="311"/>
  <c r="O166" i="311"/>
  <c r="O165" i="311"/>
  <c r="O161" i="311"/>
  <c r="O160" i="311"/>
  <c r="O159" i="311"/>
  <c r="O158" i="311"/>
  <c r="O157" i="311"/>
  <c r="O154" i="311"/>
  <c r="O153" i="311"/>
  <c r="O152" i="311"/>
  <c r="O151" i="311"/>
  <c r="O150" i="311"/>
  <c r="O147" i="311"/>
  <c r="O146" i="311"/>
  <c r="O145" i="311"/>
  <c r="O144" i="311"/>
  <c r="O141" i="311"/>
  <c r="O140" i="311"/>
  <c r="O139" i="311"/>
  <c r="O138" i="311"/>
  <c r="O137" i="311"/>
  <c r="O134" i="311"/>
  <c r="O133" i="311"/>
  <c r="O132" i="311"/>
  <c r="O131" i="311"/>
  <c r="O130" i="311"/>
  <c r="O127" i="311"/>
  <c r="O126" i="311"/>
  <c r="O125" i="311"/>
  <c r="O122" i="311"/>
  <c r="O121" i="311"/>
  <c r="O120" i="311"/>
  <c r="O117" i="311"/>
  <c r="O116" i="311"/>
  <c r="O115" i="311"/>
  <c r="O114" i="311"/>
  <c r="O113" i="311"/>
  <c r="O112" i="311"/>
  <c r="O111" i="311"/>
  <c r="O110" i="311"/>
  <c r="O109" i="311"/>
  <c r="O108" i="311"/>
  <c r="O107" i="311"/>
  <c r="O106" i="311"/>
  <c r="O105" i="311"/>
  <c r="O104" i="311"/>
  <c r="O103" i="311"/>
  <c r="O102" i="311"/>
  <c r="O101" i="311"/>
  <c r="O100" i="311"/>
  <c r="O99" i="311"/>
  <c r="O98" i="311"/>
  <c r="O97" i="311"/>
  <c r="O96" i="311"/>
  <c r="O95" i="311"/>
  <c r="O94" i="311"/>
  <c r="O93" i="311"/>
  <c r="O92" i="311"/>
  <c r="O91" i="311"/>
  <c r="O90" i="311"/>
  <c r="O89" i="311"/>
  <c r="O87" i="311"/>
  <c r="O86" i="311"/>
  <c r="O85" i="311"/>
  <c r="O84" i="311"/>
  <c r="O83" i="311"/>
  <c r="O82" i="311"/>
  <c r="O79" i="311"/>
  <c r="O78" i="311"/>
  <c r="O75" i="311"/>
  <c r="O74" i="311"/>
  <c r="O73" i="311"/>
  <c r="O72" i="311"/>
  <c r="O71" i="311"/>
  <c r="O70" i="311"/>
  <c r="O69" i="311"/>
  <c r="O68" i="311"/>
  <c r="O67" i="311"/>
  <c r="O66" i="311"/>
  <c r="O64" i="311"/>
  <c r="O61" i="311"/>
  <c r="O60" i="311"/>
  <c r="O59" i="311"/>
  <c r="O58" i="311"/>
  <c r="O57" i="311"/>
  <c r="O56" i="311"/>
  <c r="O55" i="311"/>
  <c r="O54" i="311"/>
  <c r="O53" i="311"/>
  <c r="O52" i="311"/>
  <c r="O49" i="311"/>
  <c r="O48" i="311"/>
  <c r="O47" i="311"/>
  <c r="O46" i="311"/>
  <c r="O45" i="311"/>
  <c r="O42" i="311"/>
  <c r="O41" i="311"/>
  <c r="O40" i="311"/>
  <c r="O37" i="311"/>
  <c r="O36" i="311"/>
  <c r="O35" i="311"/>
  <c r="O34" i="311"/>
  <c r="O33" i="311"/>
  <c r="O32" i="311"/>
  <c r="O31" i="311"/>
  <c r="O30" i="311"/>
  <c r="O29" i="311"/>
  <c r="O28" i="311"/>
  <c r="O25" i="311"/>
  <c r="O22" i="311"/>
  <c r="O21" i="311"/>
  <c r="O20" i="311"/>
  <c r="O19" i="311"/>
  <c r="O18" i="311"/>
  <c r="O17" i="311"/>
  <c r="O16" i="311"/>
  <c r="O15" i="311"/>
  <c r="O14" i="311"/>
  <c r="O13" i="311"/>
  <c r="O12" i="311"/>
  <c r="O11" i="311"/>
  <c r="O8" i="311"/>
  <c r="O7" i="311"/>
  <c r="O6" i="311"/>
  <c r="N444" i="311"/>
  <c r="N432" i="311"/>
  <c r="N425" i="311"/>
  <c r="N419" i="311"/>
  <c r="N407" i="311"/>
  <c r="N389" i="311"/>
  <c r="O386" i="311"/>
  <c r="N359" i="311"/>
  <c r="N352" i="311"/>
  <c r="N338" i="311"/>
  <c r="N331" i="311"/>
  <c r="N325" i="311"/>
  <c r="N321" i="311"/>
  <c r="N313" i="311"/>
  <c r="N309" i="311"/>
  <c r="N291" i="311"/>
  <c r="N284" i="311"/>
  <c r="N278" i="311"/>
  <c r="N272" i="311"/>
  <c r="N265" i="311"/>
  <c r="N259" i="311"/>
  <c r="N248" i="311"/>
  <c r="N243" i="311"/>
  <c r="N231" i="311"/>
  <c r="N202" i="311"/>
  <c r="N193" i="311"/>
  <c r="N180" i="311"/>
  <c r="N176" i="311"/>
  <c r="N172" i="311"/>
  <c r="N162" i="311"/>
  <c r="N155" i="311"/>
  <c r="N148" i="311"/>
  <c r="N142" i="311"/>
  <c r="N135" i="311"/>
  <c r="N128" i="311"/>
  <c r="N123" i="311"/>
  <c r="N118" i="311"/>
  <c r="N80" i="311"/>
  <c r="N76" i="311"/>
  <c r="N62" i="311"/>
  <c r="N50" i="311"/>
  <c r="N43" i="311"/>
  <c r="N38" i="311"/>
  <c r="N26" i="311"/>
  <c r="N23" i="311"/>
  <c r="N9" i="311"/>
  <c r="N445" i="311" l="1"/>
  <c r="N452" i="311" l="1"/>
  <c r="Q17" i="285"/>
  <c r="P17" i="285" s="1"/>
  <c r="Q16" i="285"/>
  <c r="P16" i="285" s="1"/>
  <c r="Q15" i="285"/>
  <c r="P15" i="285" s="1"/>
  <c r="Q14" i="285"/>
  <c r="P14" i="285" s="1"/>
  <c r="Q10" i="285"/>
  <c r="N10" i="285" s="1"/>
  <c r="P10" i="285"/>
  <c r="H10" i="285"/>
  <c r="Q9" i="285"/>
  <c r="N9" i="285" s="1"/>
  <c r="P9" i="285"/>
  <c r="H9" i="285"/>
  <c r="Q8" i="285"/>
  <c r="N8" i="285" s="1"/>
  <c r="P8" i="285"/>
  <c r="H8" i="285"/>
  <c r="Q7" i="285"/>
  <c r="N7" i="285" s="1"/>
  <c r="P7" i="285"/>
  <c r="H7" i="285"/>
  <c r="F42" i="284"/>
  <c r="C42" i="284" s="1"/>
  <c r="E42" i="284"/>
  <c r="F40" i="284"/>
  <c r="E40" i="284" s="1"/>
  <c r="F38" i="284"/>
  <c r="E38" i="284" s="1"/>
  <c r="F36" i="284"/>
  <c r="E36" i="284" s="1"/>
  <c r="F28" i="284"/>
  <c r="E28" i="284"/>
  <c r="C28" i="284"/>
  <c r="F26" i="284"/>
  <c r="E26" i="284" s="1"/>
  <c r="F24" i="284"/>
  <c r="C24" i="284" s="1"/>
  <c r="E24" i="284"/>
  <c r="F22" i="284"/>
  <c r="E22" i="284" s="1"/>
  <c r="F14" i="284"/>
  <c r="C14" i="284" s="1"/>
  <c r="E14" i="284"/>
  <c r="F12" i="284"/>
  <c r="E12" i="284" s="1"/>
  <c r="F10" i="284"/>
  <c r="E10" i="284" s="1"/>
  <c r="F8" i="284"/>
  <c r="E8" i="284" s="1"/>
  <c r="G11" i="283"/>
  <c r="F11" i="283"/>
  <c r="D11" i="283"/>
  <c r="G9" i="283"/>
  <c r="F9" i="283"/>
  <c r="D9" i="283"/>
  <c r="G7" i="283"/>
  <c r="F7" i="283"/>
  <c r="D7" i="283"/>
  <c r="G5" i="283"/>
  <c r="F5" i="283"/>
  <c r="D5" i="283"/>
  <c r="C8" i="284" l="1"/>
  <c r="C26" i="284"/>
  <c r="J16" i="285"/>
  <c r="J17" i="285"/>
  <c r="J7" i="285"/>
  <c r="J8" i="285"/>
  <c r="J9" i="285"/>
  <c r="J10" i="285"/>
  <c r="J15" i="285"/>
  <c r="L16" i="285"/>
  <c r="L17" i="285"/>
  <c r="D16" i="285"/>
  <c r="D17" i="285"/>
  <c r="J14" i="285"/>
  <c r="D14" i="285"/>
  <c r="L14" i="285"/>
  <c r="D15" i="285"/>
  <c r="L15" i="285"/>
  <c r="F14" i="285"/>
  <c r="N14" i="285"/>
  <c r="F15" i="285"/>
  <c r="N15" i="285"/>
  <c r="F16" i="285"/>
  <c r="N16" i="285"/>
  <c r="F17" i="285"/>
  <c r="N17" i="285"/>
  <c r="H14" i="285"/>
  <c r="H15" i="285"/>
  <c r="H16" i="285"/>
  <c r="H17" i="285"/>
  <c r="D7" i="285"/>
  <c r="L7" i="285"/>
  <c r="D8" i="285"/>
  <c r="L8" i="285"/>
  <c r="D9" i="285"/>
  <c r="L9" i="285"/>
  <c r="D10" i="285"/>
  <c r="L10" i="285"/>
  <c r="F7" i="285"/>
  <c r="F8" i="285"/>
  <c r="F9" i="285"/>
  <c r="F10" i="285"/>
  <c r="C40" i="284"/>
  <c r="C38" i="284"/>
  <c r="C36" i="284"/>
  <c r="C22" i="284"/>
  <c r="C12" i="284"/>
  <c r="C10" i="284"/>
  <c r="K38" i="281"/>
  <c r="Q38" i="281" s="1"/>
  <c r="J38" i="281"/>
  <c r="P38" i="281" s="1"/>
  <c r="I38" i="281"/>
  <c r="O38" i="281" s="1"/>
  <c r="O10" i="279" l="1"/>
  <c r="Q21" i="279"/>
  <c r="L21" i="279" s="1"/>
  <c r="B21" i="279"/>
  <c r="E20" i="279"/>
  <c r="C20" i="279"/>
  <c r="B20" i="279"/>
  <c r="E19" i="279"/>
  <c r="C19" i="279"/>
  <c r="B19" i="279"/>
  <c r="C18" i="279"/>
  <c r="Q18" i="279" s="1"/>
  <c r="B18" i="279"/>
  <c r="Q15" i="279"/>
  <c r="P15" i="279" s="1"/>
  <c r="B15" i="279"/>
  <c r="Q14" i="279"/>
  <c r="L14" i="279" s="1"/>
  <c r="P14" i="279"/>
  <c r="N14" i="279"/>
  <c r="J14" i="279"/>
  <c r="H14" i="279"/>
  <c r="F14" i="279"/>
  <c r="B14" i="279"/>
  <c r="Q13" i="279"/>
  <c r="N13" i="279" s="1"/>
  <c r="B13" i="279"/>
  <c r="Q12" i="279"/>
  <c r="P12" i="279" s="1"/>
  <c r="B12" i="279"/>
  <c r="Q9" i="279"/>
  <c r="P9" i="279" s="1"/>
  <c r="Q8" i="279"/>
  <c r="P8" i="279" s="1"/>
  <c r="Q7" i="279"/>
  <c r="P7" i="279" s="1"/>
  <c r="Q6" i="279"/>
  <c r="P6" i="279" s="1"/>
  <c r="F42" i="278"/>
  <c r="E42" i="278" s="1"/>
  <c r="F40" i="278"/>
  <c r="E40" i="278" s="1"/>
  <c r="C40" i="278"/>
  <c r="F38" i="278"/>
  <c r="E38" i="278"/>
  <c r="C38" i="278"/>
  <c r="F34" i="278"/>
  <c r="E34" i="278" s="1"/>
  <c r="C34" i="278"/>
  <c r="F28" i="278"/>
  <c r="E28" i="278" s="1"/>
  <c r="F26" i="278"/>
  <c r="E26" i="278" s="1"/>
  <c r="C26" i="278"/>
  <c r="F24" i="278"/>
  <c r="C24" i="278" s="1"/>
  <c r="E24" i="278"/>
  <c r="F20" i="278"/>
  <c r="E20" i="278" s="1"/>
  <c r="F22" i="278"/>
  <c r="E22" i="278" s="1"/>
  <c r="F14" i="278"/>
  <c r="E14" i="278" s="1"/>
  <c r="F12" i="278"/>
  <c r="E12" i="278" s="1"/>
  <c r="C12" i="278"/>
  <c r="F10" i="278"/>
  <c r="C10" i="278" s="1"/>
  <c r="E10" i="278"/>
  <c r="F8" i="278"/>
  <c r="E8" i="278" s="1"/>
  <c r="C20" i="278" l="1"/>
  <c r="J7" i="279"/>
  <c r="J9" i="279"/>
  <c r="H21" i="279"/>
  <c r="C22" i="278"/>
  <c r="J6" i="279"/>
  <c r="J8" i="279"/>
  <c r="Q19" i="279"/>
  <c r="N19" i="279" s="1"/>
  <c r="D15" i="279"/>
  <c r="F15" i="279"/>
  <c r="P13" i="279"/>
  <c r="N15" i="279"/>
  <c r="Q20" i="279"/>
  <c r="N20" i="279" s="1"/>
  <c r="J21" i="279"/>
  <c r="J15" i="279"/>
  <c r="N21" i="279"/>
  <c r="H13" i="279"/>
  <c r="D14" i="279"/>
  <c r="L15" i="279"/>
  <c r="F21" i="279"/>
  <c r="P21" i="279"/>
  <c r="L20" i="279"/>
  <c r="P20" i="279"/>
  <c r="L19" i="279"/>
  <c r="P19" i="279"/>
  <c r="F19" i="279"/>
  <c r="F20" i="279"/>
  <c r="N18" i="279"/>
  <c r="L18" i="279"/>
  <c r="J18" i="279"/>
  <c r="P18" i="279"/>
  <c r="H18" i="279"/>
  <c r="F18" i="279"/>
  <c r="D18" i="279"/>
  <c r="D20" i="279"/>
  <c r="D19" i="279"/>
  <c r="D21" i="279"/>
  <c r="F12" i="279"/>
  <c r="N12" i="279"/>
  <c r="D13" i="279"/>
  <c r="L13" i="279"/>
  <c r="H15" i="279"/>
  <c r="J12" i="279"/>
  <c r="D12" i="279"/>
  <c r="L12" i="279"/>
  <c r="J13" i="279"/>
  <c r="H12" i="279"/>
  <c r="F13" i="279"/>
  <c r="D6" i="279"/>
  <c r="L6" i="279"/>
  <c r="D7" i="279"/>
  <c r="L7" i="279"/>
  <c r="D8" i="279"/>
  <c r="L8" i="279"/>
  <c r="D9" i="279"/>
  <c r="L9" i="279"/>
  <c r="F6" i="279"/>
  <c r="N6" i="279"/>
  <c r="F7" i="279"/>
  <c r="N7" i="279"/>
  <c r="F8" i="279"/>
  <c r="N8" i="279"/>
  <c r="F9" i="279"/>
  <c r="N9" i="279"/>
  <c r="H6" i="279"/>
  <c r="H7" i="279"/>
  <c r="H8" i="279"/>
  <c r="H9" i="279"/>
  <c r="C42" i="278"/>
  <c r="C28" i="278"/>
  <c r="C14" i="278"/>
  <c r="C8" i="278"/>
  <c r="I5" i="277"/>
  <c r="I6" i="277" s="1"/>
  <c r="I7" i="277" s="1"/>
  <c r="I8" i="277" s="1"/>
  <c r="G11" i="277"/>
  <c r="F11" i="277"/>
  <c r="D11" i="277"/>
  <c r="G9" i="277"/>
  <c r="F9" i="277"/>
  <c r="D9" i="277"/>
  <c r="G7" i="277"/>
  <c r="F7" i="277"/>
  <c r="D7" i="277"/>
  <c r="F5" i="277"/>
  <c r="C5" i="277"/>
  <c r="D5" i="277" s="1"/>
  <c r="J19" i="279" l="1"/>
  <c r="J20" i="279"/>
  <c r="G5" i="277"/>
  <c r="H19" i="279"/>
  <c r="H20" i="279"/>
  <c r="AD109" i="308"/>
  <c r="AE108" i="308"/>
  <c r="AE107" i="308"/>
  <c r="AE106" i="308"/>
  <c r="AE105" i="308"/>
  <c r="AE104" i="308"/>
  <c r="AE103" i="308"/>
  <c r="AE102" i="308"/>
  <c r="AE101" i="308"/>
  <c r="AE100" i="308"/>
  <c r="AE99" i="308"/>
  <c r="AE98" i="308"/>
  <c r="AD96" i="308"/>
  <c r="AE95" i="308"/>
  <c r="AE94" i="308"/>
  <c r="AE93" i="308"/>
  <c r="AE92" i="308"/>
  <c r="AE91" i="308"/>
  <c r="AE90" i="308"/>
  <c r="AE89" i="308"/>
  <c r="AD84" i="308"/>
  <c r="AE83" i="308"/>
  <c r="AE82" i="308"/>
  <c r="AE81" i="308"/>
  <c r="AE80" i="308"/>
  <c r="AD78" i="308"/>
  <c r="AE77" i="308"/>
  <c r="AE76" i="308"/>
  <c r="AE75" i="308"/>
  <c r="AE74" i="308"/>
  <c r="AE73" i="308"/>
  <c r="AE72" i="308"/>
  <c r="AD70" i="308"/>
  <c r="AE69" i="308"/>
  <c r="AE68" i="308"/>
  <c r="AE67" i="308"/>
  <c r="AE66" i="308"/>
  <c r="AE65" i="308"/>
  <c r="AE64" i="308"/>
  <c r="AE63" i="308"/>
  <c r="AE62" i="308"/>
  <c r="AE61" i="308"/>
  <c r="AE60" i="308"/>
  <c r="AD55" i="308"/>
  <c r="AE54" i="308"/>
  <c r="AE53" i="308"/>
  <c r="AD51" i="308"/>
  <c r="AE50" i="308"/>
  <c r="AE49" i="308"/>
  <c r="AE48" i="308"/>
  <c r="AD46" i="308"/>
  <c r="AE45" i="308"/>
  <c r="AE44" i="308"/>
  <c r="AD42" i="308"/>
  <c r="AE41" i="308"/>
  <c r="AE40" i="308"/>
  <c r="AE39" i="308"/>
  <c r="AE38" i="308"/>
  <c r="AE37" i="308"/>
  <c r="AD35" i="308"/>
  <c r="AE34" i="308"/>
  <c r="AE33" i="308"/>
  <c r="AD28" i="308"/>
  <c r="AE27" i="308"/>
  <c r="AE26" i="308"/>
  <c r="AE25" i="308"/>
  <c r="AE24" i="308"/>
  <c r="AD22" i="308"/>
  <c r="AE21" i="308"/>
  <c r="AE20" i="308"/>
  <c r="AD18" i="308"/>
  <c r="AE17" i="308"/>
  <c r="AE16" i="308"/>
  <c r="AE15" i="308"/>
  <c r="AE14" i="308"/>
  <c r="AE13" i="308"/>
  <c r="AE12" i="308"/>
  <c r="AE11" i="308"/>
  <c r="AD9" i="308"/>
  <c r="AE8" i="308"/>
  <c r="AE7" i="308"/>
  <c r="AE6" i="308"/>
  <c r="L102" i="187"/>
  <c r="L89" i="187"/>
  <c r="L77" i="187"/>
  <c r="L71" i="187"/>
  <c r="L63" i="187"/>
  <c r="L51" i="187"/>
  <c r="L47" i="187"/>
  <c r="L43" i="187"/>
  <c r="K39" i="187"/>
  <c r="L32" i="187"/>
  <c r="L25" i="187"/>
  <c r="L21" i="187"/>
  <c r="L17" i="187"/>
  <c r="L9" i="187"/>
  <c r="L103" i="187" l="1"/>
  <c r="L78" i="187"/>
  <c r="L52" i="187"/>
  <c r="L26" i="187"/>
  <c r="AD56" i="308"/>
  <c r="AD29" i="308"/>
  <c r="AD85" i="308"/>
  <c r="AD110" i="308"/>
  <c r="J52" i="48"/>
  <c r="J56" i="48" s="1"/>
  <c r="J59" i="49"/>
  <c r="J42" i="50"/>
  <c r="J46" i="50" s="1"/>
  <c r="D26" i="268"/>
  <c r="C26" i="268"/>
  <c r="D25" i="268"/>
  <c r="C25" i="268"/>
  <c r="D21" i="268"/>
  <c r="C21" i="268"/>
  <c r="D20" i="268"/>
  <c r="C20" i="268"/>
  <c r="D16" i="268"/>
  <c r="C16" i="268"/>
  <c r="D15" i="268"/>
  <c r="C15" i="268"/>
  <c r="D11" i="268"/>
  <c r="C11" i="268"/>
  <c r="D10" i="268"/>
  <c r="C10" i="268"/>
  <c r="D6" i="268"/>
  <c r="C6" i="268"/>
  <c r="D5" i="268"/>
  <c r="C5" i="268"/>
  <c r="L104" i="187" l="1"/>
  <c r="AD111" i="308"/>
  <c r="D27" i="315"/>
  <c r="C27" i="315"/>
  <c r="E26" i="315"/>
  <c r="E25" i="315"/>
  <c r="D22" i="315"/>
  <c r="E21" i="315"/>
  <c r="E20" i="315"/>
  <c r="C17" i="315"/>
  <c r="E16" i="315"/>
  <c r="E15" i="315"/>
  <c r="D12" i="315"/>
  <c r="C12" i="315"/>
  <c r="E11" i="315"/>
  <c r="E10" i="315"/>
  <c r="B9" i="315"/>
  <c r="B14" i="315" s="1"/>
  <c r="B19" i="315" s="1"/>
  <c r="B24" i="315" s="1"/>
  <c r="D7" i="315"/>
  <c r="C7" i="315"/>
  <c r="E6" i="315"/>
  <c r="E5" i="315"/>
  <c r="AB107" i="184"/>
  <c r="AB115" i="184" s="1"/>
  <c r="AA107" i="184"/>
  <c r="AC107" i="184" s="1"/>
  <c r="Z107" i="184"/>
  <c r="Z115" i="184" s="1"/>
  <c r="W107" i="184"/>
  <c r="V107" i="184"/>
  <c r="U107" i="184"/>
  <c r="X107" i="184" s="1"/>
  <c r="R107" i="184"/>
  <c r="Q107" i="184"/>
  <c r="S107" i="184" s="1"/>
  <c r="Y107" i="184" s="1"/>
  <c r="P107" i="184"/>
  <c r="M107" i="184"/>
  <c r="L107" i="184"/>
  <c r="K107" i="184"/>
  <c r="N107" i="184" s="1"/>
  <c r="T107" i="184" s="1"/>
  <c r="H107" i="184"/>
  <c r="G107" i="184"/>
  <c r="F107" i="184"/>
  <c r="D107" i="184"/>
  <c r="C107" i="184"/>
  <c r="B107" i="184"/>
  <c r="B70" i="184"/>
  <c r="C70" i="184"/>
  <c r="D70" i="184"/>
  <c r="E70" i="184"/>
  <c r="F70" i="184"/>
  <c r="G70" i="184"/>
  <c r="H70" i="184"/>
  <c r="I70" i="184"/>
  <c r="K70" i="184"/>
  <c r="L70" i="184"/>
  <c r="M70" i="184"/>
  <c r="P70" i="184"/>
  <c r="Q70" i="184"/>
  <c r="R70" i="184"/>
  <c r="U70" i="184"/>
  <c r="V70" i="184"/>
  <c r="W70" i="184"/>
  <c r="Z70" i="184"/>
  <c r="AC70" i="184" s="1"/>
  <c r="AA70" i="184"/>
  <c r="AB70" i="184"/>
  <c r="AB66" i="184"/>
  <c r="AA66" i="184"/>
  <c r="AC66" i="184" s="1"/>
  <c r="Z66" i="184"/>
  <c r="W66" i="184"/>
  <c r="V66" i="184"/>
  <c r="U66" i="184"/>
  <c r="R66" i="184"/>
  <c r="Q66" i="184"/>
  <c r="S66" i="184" s="1"/>
  <c r="P66" i="184"/>
  <c r="M66" i="184"/>
  <c r="L66" i="184"/>
  <c r="K66" i="184"/>
  <c r="H66" i="184"/>
  <c r="G66" i="184"/>
  <c r="F66" i="184"/>
  <c r="D66" i="184"/>
  <c r="C66" i="184"/>
  <c r="B66" i="184"/>
  <c r="E66" i="184" s="1"/>
  <c r="AB65" i="184"/>
  <c r="AA65" i="184"/>
  <c r="Z65" i="184"/>
  <c r="W65" i="184"/>
  <c r="V65" i="184"/>
  <c r="U65" i="184"/>
  <c r="R65" i="184"/>
  <c r="Q65" i="184"/>
  <c r="P65" i="184"/>
  <c r="M65" i="184"/>
  <c r="L65" i="184"/>
  <c r="K65" i="184"/>
  <c r="H65" i="184"/>
  <c r="G65" i="184"/>
  <c r="F65" i="184"/>
  <c r="D65" i="184"/>
  <c r="C65" i="184"/>
  <c r="B65" i="184"/>
  <c r="AB64" i="184"/>
  <c r="AA64" i="184"/>
  <c r="Z64" i="184"/>
  <c r="W64" i="184"/>
  <c r="V64" i="184"/>
  <c r="U64" i="184"/>
  <c r="R64" i="184"/>
  <c r="Q64" i="184"/>
  <c r="P64" i="184"/>
  <c r="S64" i="184" s="1"/>
  <c r="M64" i="184"/>
  <c r="L64" i="184"/>
  <c r="K64" i="184"/>
  <c r="H64" i="184"/>
  <c r="G64" i="184"/>
  <c r="F64" i="184"/>
  <c r="D64" i="184"/>
  <c r="C64" i="184"/>
  <c r="B64" i="184"/>
  <c r="AB13" i="184"/>
  <c r="AA13" i="184"/>
  <c r="Z13" i="184"/>
  <c r="W13" i="184"/>
  <c r="V13" i="184"/>
  <c r="U13" i="184"/>
  <c r="R13" i="184"/>
  <c r="Q13" i="184"/>
  <c r="P13" i="184"/>
  <c r="M13" i="184"/>
  <c r="L13" i="184"/>
  <c r="K13" i="184"/>
  <c r="H13" i="184"/>
  <c r="G13" i="184"/>
  <c r="F13" i="184"/>
  <c r="D13" i="184"/>
  <c r="C13" i="184"/>
  <c r="B13" i="184"/>
  <c r="H32" i="21"/>
  <c r="E32" i="21"/>
  <c r="H30" i="21"/>
  <c r="E30" i="21"/>
  <c r="H28" i="21"/>
  <c r="E28" i="21"/>
  <c r="F26" i="21"/>
  <c r="H26" i="21" s="1"/>
  <c r="D26" i="21"/>
  <c r="C26" i="21"/>
  <c r="K24" i="181"/>
  <c r="X12" i="181"/>
  <c r="X11" i="181"/>
  <c r="X10" i="181"/>
  <c r="X9" i="181"/>
  <c r="X8" i="181"/>
  <c r="X7" i="181"/>
  <c r="X6" i="181"/>
  <c r="X5" i="181"/>
  <c r="L22" i="181"/>
  <c r="L20" i="181"/>
  <c r="K18" i="181"/>
  <c r="L16" i="181"/>
  <c r="L14" i="181"/>
  <c r="L12" i="181"/>
  <c r="L10" i="181"/>
  <c r="L8" i="181"/>
  <c r="L6" i="181"/>
  <c r="AB114" i="184"/>
  <c r="AA114" i="184"/>
  <c r="Z114" i="184"/>
  <c r="AB113" i="184"/>
  <c r="AA113" i="184"/>
  <c r="Z113" i="184"/>
  <c r="AB112" i="184"/>
  <c r="AA112" i="184"/>
  <c r="Z112" i="184"/>
  <c r="AB111" i="184"/>
  <c r="AA111" i="184"/>
  <c r="Z111" i="184"/>
  <c r="AB110" i="184"/>
  <c r="AA110" i="184"/>
  <c r="Z110" i="184"/>
  <c r="AB109" i="184"/>
  <c r="AA109" i="184"/>
  <c r="Z109" i="184"/>
  <c r="AB108" i="184"/>
  <c r="AA108" i="184"/>
  <c r="Z108" i="184"/>
  <c r="AB101" i="184"/>
  <c r="AA101" i="184"/>
  <c r="Z101" i="184"/>
  <c r="AB100" i="184"/>
  <c r="AA100" i="184"/>
  <c r="Z100" i="184"/>
  <c r="AB97" i="184"/>
  <c r="AA97" i="184"/>
  <c r="Z97" i="184"/>
  <c r="AB96" i="184"/>
  <c r="AA96" i="184"/>
  <c r="Z96" i="184"/>
  <c r="AB95" i="184"/>
  <c r="AA95" i="184"/>
  <c r="Z95" i="184"/>
  <c r="AB94" i="184"/>
  <c r="AA94" i="184"/>
  <c r="Z94" i="184"/>
  <c r="AB93" i="184"/>
  <c r="AA93" i="184"/>
  <c r="Z93" i="184"/>
  <c r="AB90" i="184"/>
  <c r="AA90" i="184"/>
  <c r="Z90" i="184"/>
  <c r="AB89" i="184"/>
  <c r="AA89" i="184"/>
  <c r="Z89" i="184"/>
  <c r="AB87" i="184"/>
  <c r="AA87" i="184"/>
  <c r="Z87" i="184"/>
  <c r="AB78" i="184"/>
  <c r="AA78" i="184"/>
  <c r="Z78" i="184"/>
  <c r="AB77" i="184"/>
  <c r="AA77" i="184"/>
  <c r="Z77" i="184"/>
  <c r="AB76" i="184"/>
  <c r="AA76" i="184"/>
  <c r="Z76" i="184"/>
  <c r="AB73" i="184"/>
  <c r="AA73" i="184"/>
  <c r="Z73" i="184"/>
  <c r="AB72" i="184"/>
  <c r="AA72" i="184"/>
  <c r="Z72" i="184"/>
  <c r="AB71" i="184"/>
  <c r="AA71" i="184"/>
  <c r="Z71" i="184"/>
  <c r="AB69" i="184"/>
  <c r="AA69" i="184"/>
  <c r="Z69" i="184"/>
  <c r="AB63" i="184"/>
  <c r="AA63" i="184"/>
  <c r="Z63" i="184"/>
  <c r="AB62" i="184"/>
  <c r="AB67" i="184" s="1"/>
  <c r="AA62" i="184"/>
  <c r="Z62" i="184"/>
  <c r="Z67" i="184" s="1"/>
  <c r="AB59" i="184"/>
  <c r="AA59" i="184"/>
  <c r="Z59" i="184"/>
  <c r="AB58" i="184"/>
  <c r="AA58" i="184"/>
  <c r="Z58" i="184"/>
  <c r="AB57" i="184"/>
  <c r="AA57" i="184"/>
  <c r="Z57" i="184"/>
  <c r="AB56" i="184"/>
  <c r="AA56" i="184"/>
  <c r="Z56" i="184"/>
  <c r="AB55" i="184"/>
  <c r="AA55" i="184"/>
  <c r="Z55" i="184"/>
  <c r="AB54" i="184"/>
  <c r="AA54" i="184"/>
  <c r="Z54" i="184"/>
  <c r="AB51" i="184"/>
  <c r="AA51" i="184"/>
  <c r="Z51" i="184"/>
  <c r="AB50" i="184"/>
  <c r="AA50" i="184"/>
  <c r="Z50" i="184"/>
  <c r="AB42" i="184"/>
  <c r="AA42" i="184"/>
  <c r="Z42" i="184"/>
  <c r="AB40" i="184"/>
  <c r="AA40" i="184"/>
  <c r="Z40" i="184"/>
  <c r="AB37" i="184"/>
  <c r="AA37" i="184"/>
  <c r="Z37" i="184"/>
  <c r="AB36" i="184"/>
  <c r="AA36" i="184"/>
  <c r="Z36" i="184"/>
  <c r="AB35" i="184"/>
  <c r="AA35" i="184"/>
  <c r="Z35" i="184"/>
  <c r="AB34" i="184"/>
  <c r="AA34" i="184"/>
  <c r="Z34" i="184"/>
  <c r="AB33" i="184"/>
  <c r="AA33" i="184"/>
  <c r="Z33" i="184"/>
  <c r="AB32" i="184"/>
  <c r="AA32" i="184"/>
  <c r="Z32" i="184"/>
  <c r="AB31" i="184"/>
  <c r="AA31" i="184"/>
  <c r="Z31" i="184"/>
  <c r="AB30" i="184"/>
  <c r="AA30" i="184"/>
  <c r="Z30" i="184"/>
  <c r="AB21" i="184"/>
  <c r="AA21" i="184"/>
  <c r="Z21" i="184"/>
  <c r="AB20" i="184"/>
  <c r="AA20" i="184"/>
  <c r="Z20" i="184"/>
  <c r="AB19" i="184"/>
  <c r="AA19" i="184"/>
  <c r="Z19" i="184"/>
  <c r="AB18" i="184"/>
  <c r="AA18" i="184"/>
  <c r="Z18" i="184"/>
  <c r="AB15" i="184"/>
  <c r="AA15" i="184"/>
  <c r="Z15" i="184"/>
  <c r="AB14" i="184"/>
  <c r="AA14" i="184"/>
  <c r="Z14" i="184"/>
  <c r="AB12" i="184"/>
  <c r="AA12" i="184"/>
  <c r="Z12" i="184"/>
  <c r="AB11" i="184"/>
  <c r="AA11" i="184"/>
  <c r="Z11" i="184"/>
  <c r="AB10" i="184"/>
  <c r="AA10" i="184"/>
  <c r="Z10" i="184"/>
  <c r="AB9" i="184"/>
  <c r="AA9" i="184"/>
  <c r="Z9" i="184"/>
  <c r="AB8" i="184"/>
  <c r="AA8" i="184"/>
  <c r="Z8" i="184"/>
  <c r="AB7" i="184"/>
  <c r="AA7" i="184"/>
  <c r="Z7" i="184"/>
  <c r="AB115" i="183"/>
  <c r="AA115" i="183"/>
  <c r="Z115" i="183"/>
  <c r="W115" i="183"/>
  <c r="V115" i="183"/>
  <c r="U115" i="183"/>
  <c r="R115" i="183"/>
  <c r="Q115" i="183"/>
  <c r="P115" i="183"/>
  <c r="M115" i="183"/>
  <c r="L115" i="183"/>
  <c r="K115" i="183"/>
  <c r="H115" i="183"/>
  <c r="G115" i="183"/>
  <c r="F115" i="183"/>
  <c r="AC66" i="183"/>
  <c r="AD66" i="183" s="1"/>
  <c r="AC65" i="183"/>
  <c r="AC64" i="183"/>
  <c r="X66" i="183"/>
  <c r="X65" i="183"/>
  <c r="X64" i="183"/>
  <c r="S64" i="183"/>
  <c r="Y64" i="183" s="1"/>
  <c r="S65" i="183"/>
  <c r="S66" i="183"/>
  <c r="T66" i="183" s="1"/>
  <c r="N66" i="183"/>
  <c r="N65" i="183"/>
  <c r="T65" i="183" s="1"/>
  <c r="N64" i="183"/>
  <c r="I66" i="183"/>
  <c r="O66" i="183" s="1"/>
  <c r="I65" i="183"/>
  <c r="I64" i="183"/>
  <c r="J65" i="183"/>
  <c r="J64" i="183"/>
  <c r="O64" i="183"/>
  <c r="T64" i="183"/>
  <c r="AD64" i="183"/>
  <c r="AB67" i="183"/>
  <c r="AA67" i="183"/>
  <c r="Z67" i="183"/>
  <c r="W67" i="183"/>
  <c r="V67" i="183"/>
  <c r="U67" i="183"/>
  <c r="R67" i="183"/>
  <c r="Q67" i="183"/>
  <c r="P67" i="183"/>
  <c r="M67" i="183"/>
  <c r="L67" i="183"/>
  <c r="K67" i="183"/>
  <c r="H67" i="183"/>
  <c r="G67" i="183"/>
  <c r="F67" i="183"/>
  <c r="J66" i="183"/>
  <c r="Y66" i="183"/>
  <c r="AC13" i="183"/>
  <c r="X13" i="183"/>
  <c r="S13" i="183"/>
  <c r="Y13" i="183" s="1"/>
  <c r="N13" i="183"/>
  <c r="J13" i="183"/>
  <c r="I13" i="183"/>
  <c r="O13" i="183" s="1"/>
  <c r="AC42" i="183"/>
  <c r="AC40" i="183"/>
  <c r="AC37" i="183"/>
  <c r="AC36" i="183"/>
  <c r="AC35" i="183"/>
  <c r="AC34" i="183"/>
  <c r="AC33" i="183"/>
  <c r="AC32" i="183"/>
  <c r="AC31" i="183"/>
  <c r="AC38" i="183" s="1"/>
  <c r="AC30" i="183"/>
  <c r="AC107" i="183"/>
  <c r="I107" i="183"/>
  <c r="N107" i="183"/>
  <c r="T107" i="183" s="1"/>
  <c r="S107" i="183"/>
  <c r="X107" i="183"/>
  <c r="AD107" i="183" s="1"/>
  <c r="O107" i="183"/>
  <c r="J107" i="183"/>
  <c r="AC114" i="183"/>
  <c r="AC113" i="183"/>
  <c r="AC112" i="183"/>
  <c r="AC111" i="183"/>
  <c r="AC110" i="183"/>
  <c r="AC109" i="183"/>
  <c r="AC108" i="183"/>
  <c r="AB102" i="183"/>
  <c r="AA102" i="183"/>
  <c r="Z102" i="183"/>
  <c r="AC101" i="183"/>
  <c r="AC100" i="183"/>
  <c r="AB98" i="183"/>
  <c r="AA98" i="183"/>
  <c r="Z98" i="183"/>
  <c r="AC97" i="183"/>
  <c r="AC96" i="183"/>
  <c r="AC95" i="183"/>
  <c r="AC94" i="183"/>
  <c r="AC93" i="183"/>
  <c r="AB91" i="183"/>
  <c r="AA91" i="183"/>
  <c r="Z91" i="183"/>
  <c r="AC90" i="183"/>
  <c r="AC89" i="183"/>
  <c r="AC87" i="183"/>
  <c r="AB79" i="183"/>
  <c r="AA79" i="183"/>
  <c r="Z79" i="183"/>
  <c r="AC78" i="183"/>
  <c r="AC77" i="183"/>
  <c r="AC76" i="183"/>
  <c r="AB74" i="183"/>
  <c r="AA74" i="183"/>
  <c r="Z74" i="183"/>
  <c r="AC73" i="183"/>
  <c r="AC72" i="183"/>
  <c r="AC71" i="183"/>
  <c r="AC70" i="183"/>
  <c r="AC69" i="183"/>
  <c r="AC63" i="183"/>
  <c r="AC62" i="183"/>
  <c r="AB60" i="183"/>
  <c r="AA60" i="183"/>
  <c r="Z60" i="183"/>
  <c r="AC59" i="183"/>
  <c r="AC58" i="183"/>
  <c r="AC57" i="183"/>
  <c r="AC56" i="183"/>
  <c r="AC55" i="183"/>
  <c r="AC54" i="183"/>
  <c r="AB52" i="183"/>
  <c r="AA52" i="183"/>
  <c r="Z52" i="183"/>
  <c r="AC51" i="183"/>
  <c r="AC50" i="183"/>
  <c r="AB38" i="183"/>
  <c r="AB43" i="183" s="1"/>
  <c r="AA38" i="183"/>
  <c r="AA43" i="183" s="1"/>
  <c r="Z38" i="183"/>
  <c r="Z43" i="183" s="1"/>
  <c r="AB22" i="183"/>
  <c r="AA22" i="183"/>
  <c r="Z22" i="183"/>
  <c r="AC21" i="183"/>
  <c r="AC20" i="183"/>
  <c r="AC19" i="183"/>
  <c r="AC18" i="183"/>
  <c r="AB16" i="183"/>
  <c r="AA16" i="183"/>
  <c r="Z16" i="183"/>
  <c r="AC15" i="183"/>
  <c r="AC14" i="183"/>
  <c r="AC12" i="183"/>
  <c r="AC11" i="183"/>
  <c r="AC10" i="183"/>
  <c r="AC9" i="183"/>
  <c r="AC8" i="183"/>
  <c r="AC7" i="183"/>
  <c r="AC115" i="183" l="1"/>
  <c r="X64" i="184"/>
  <c r="E65" i="184"/>
  <c r="N66" i="184"/>
  <c r="T66" i="184" s="1"/>
  <c r="AD107" i="184"/>
  <c r="AA115" i="184"/>
  <c r="AB23" i="183"/>
  <c r="T13" i="183"/>
  <c r="O65" i="183"/>
  <c r="I64" i="184"/>
  <c r="I66" i="184"/>
  <c r="O66" i="184" s="1"/>
  <c r="S70" i="184"/>
  <c r="Y70" i="184" s="1"/>
  <c r="N70" i="184"/>
  <c r="E107" i="184"/>
  <c r="I107" i="184"/>
  <c r="J66" i="184"/>
  <c r="O70" i="184"/>
  <c r="J70" i="184"/>
  <c r="Z23" i="183"/>
  <c r="Y107" i="183"/>
  <c r="AD13" i="183"/>
  <c r="E26" i="21"/>
  <c r="I65" i="184"/>
  <c r="AC65" i="184"/>
  <c r="X70" i="184"/>
  <c r="AD70" i="184" s="1"/>
  <c r="E22" i="315"/>
  <c r="E17" i="315"/>
  <c r="E12" i="315"/>
  <c r="E27" i="315"/>
  <c r="E7" i="315"/>
  <c r="J65" i="184"/>
  <c r="E64" i="184"/>
  <c r="AC64" i="184"/>
  <c r="X65" i="184"/>
  <c r="N64" i="184"/>
  <c r="T64" i="184" s="1"/>
  <c r="X66" i="184"/>
  <c r="AD66" i="184" s="1"/>
  <c r="AD64" i="184"/>
  <c r="N65" i="184"/>
  <c r="S65" i="184"/>
  <c r="Y65" i="184" s="1"/>
  <c r="Y66" i="184"/>
  <c r="AA67" i="184"/>
  <c r="Y64" i="184"/>
  <c r="J64" i="184"/>
  <c r="E13" i="184"/>
  <c r="I13" i="184"/>
  <c r="AC13" i="184"/>
  <c r="X13" i="184"/>
  <c r="AD13" i="184" s="1"/>
  <c r="AB16" i="184"/>
  <c r="AC9" i="184"/>
  <c r="AC14" i="184"/>
  <c r="AB22" i="184"/>
  <c r="AC20" i="184"/>
  <c r="AB38" i="184"/>
  <c r="AB43" i="184" s="1"/>
  <c r="AC31" i="184"/>
  <c r="AC35" i="184"/>
  <c r="AB52" i="184"/>
  <c r="AC55" i="184"/>
  <c r="AC59" i="184"/>
  <c r="Z102" i="184"/>
  <c r="AC111" i="184"/>
  <c r="N13" i="184"/>
  <c r="S13" i="184"/>
  <c r="Z79" i="184"/>
  <c r="Z91" i="184"/>
  <c r="AC90" i="184"/>
  <c r="AC108" i="184"/>
  <c r="AC115" i="184" s="1"/>
  <c r="AC112" i="184"/>
  <c r="Z16" i="184"/>
  <c r="AC30" i="184"/>
  <c r="AC34" i="184"/>
  <c r="AC40" i="184"/>
  <c r="Z60" i="184"/>
  <c r="AC58" i="184"/>
  <c r="Z74" i="184"/>
  <c r="AC73" i="184"/>
  <c r="AA79" i="184"/>
  <c r="AA91" i="184"/>
  <c r="AC94" i="184"/>
  <c r="AC77" i="184"/>
  <c r="AB98" i="184"/>
  <c r="AA16" i="184"/>
  <c r="AC10" i="184"/>
  <c r="AC15" i="184"/>
  <c r="AA22" i="184"/>
  <c r="AC21" i="184"/>
  <c r="AA38" i="184"/>
  <c r="AA43" i="184" s="1"/>
  <c r="AB102" i="184"/>
  <c r="AC110" i="184"/>
  <c r="AC113" i="184"/>
  <c r="AC114" i="184"/>
  <c r="X13" i="181"/>
  <c r="K26" i="181"/>
  <c r="Y65" i="183"/>
  <c r="AC8" i="184"/>
  <c r="AC12" i="184"/>
  <c r="AC19" i="184"/>
  <c r="AC11" i="184"/>
  <c r="AC18" i="184"/>
  <c r="AC95" i="184"/>
  <c r="AC33" i="184"/>
  <c r="AC37" i="184"/>
  <c r="Z52" i="184"/>
  <c r="AA60" i="184"/>
  <c r="AC57" i="184"/>
  <c r="AA74" i="184"/>
  <c r="AC72" i="184"/>
  <c r="AB79" i="184"/>
  <c r="AC78" i="184"/>
  <c r="AC87" i="184"/>
  <c r="AB91" i="184"/>
  <c r="Z98" i="184"/>
  <c r="AA102" i="184"/>
  <c r="AC109" i="184"/>
  <c r="AC32" i="184"/>
  <c r="AC36" i="184"/>
  <c r="AC50" i="184"/>
  <c r="AA52" i="184"/>
  <c r="AB60" i="184"/>
  <c r="AC56" i="184"/>
  <c r="AC62" i="184"/>
  <c r="AB74" i="184"/>
  <c r="AC71" i="184"/>
  <c r="AC93" i="184"/>
  <c r="AC96" i="184"/>
  <c r="AC97" i="184"/>
  <c r="AC7" i="184"/>
  <c r="Z22" i="184"/>
  <c r="Z38" i="184"/>
  <c r="Z43" i="184" s="1"/>
  <c r="AC51" i="184"/>
  <c r="AC54" i="184"/>
  <c r="AC63" i="184"/>
  <c r="AC69" i="184"/>
  <c r="AC76" i="184"/>
  <c r="AC89" i="184"/>
  <c r="AA98" i="184"/>
  <c r="AC101" i="184"/>
  <c r="AC42" i="184"/>
  <c r="AC100" i="184"/>
  <c r="AC67" i="183"/>
  <c r="AD65" i="183"/>
  <c r="AC60" i="183"/>
  <c r="Z80" i="183"/>
  <c r="AC79" i="183"/>
  <c r="AC102" i="183"/>
  <c r="AB80" i="183"/>
  <c r="AC52" i="183"/>
  <c r="AC91" i="183"/>
  <c r="AA103" i="183"/>
  <c r="AC22" i="183"/>
  <c r="Z103" i="183"/>
  <c r="Z118" i="183" s="1"/>
  <c r="AB103" i="183"/>
  <c r="AC98" i="183"/>
  <c r="AC74" i="183"/>
  <c r="AA80" i="183"/>
  <c r="AC16" i="183"/>
  <c r="AA23" i="183"/>
  <c r="AC43" i="183"/>
  <c r="AB23" i="184" l="1"/>
  <c r="O107" i="184"/>
  <c r="J107" i="184"/>
  <c r="AA118" i="183"/>
  <c r="AD65" i="184"/>
  <c r="T70" i="184"/>
  <c r="O64" i="184"/>
  <c r="J13" i="184"/>
  <c r="T65" i="184"/>
  <c r="O65" i="184"/>
  <c r="AC67" i="184"/>
  <c r="O13" i="184"/>
  <c r="T13" i="184"/>
  <c r="AB103" i="184"/>
  <c r="Y13" i="184"/>
  <c r="AC38" i="184"/>
  <c r="AC43" i="184" s="1"/>
  <c r="AA103" i="184"/>
  <c r="AC22" i="184"/>
  <c r="Z103" i="184"/>
  <c r="AA23" i="184"/>
  <c r="Z23" i="184"/>
  <c r="AB80" i="184"/>
  <c r="Z80" i="184"/>
  <c r="AA80" i="184"/>
  <c r="AB118" i="183"/>
  <c r="AC98" i="184"/>
  <c r="AC102" i="184"/>
  <c r="AC91" i="184"/>
  <c r="AC60" i="184"/>
  <c r="AC79" i="184"/>
  <c r="AC52" i="184"/>
  <c r="AC74" i="184"/>
  <c r="AC16" i="184"/>
  <c r="AC80" i="183"/>
  <c r="AC103" i="183"/>
  <c r="AC23" i="183"/>
  <c r="AB118" i="184" l="1"/>
  <c r="AA118" i="184"/>
  <c r="Z118" i="184"/>
  <c r="AC103" i="184"/>
  <c r="AC80" i="184"/>
  <c r="AC23" i="184"/>
  <c r="AC118" i="183"/>
  <c r="AC118" i="184" l="1"/>
  <c r="K38" i="196"/>
  <c r="L73" i="196"/>
  <c r="L74" i="196"/>
  <c r="J73" i="196"/>
  <c r="J74" i="196"/>
  <c r="H73" i="196"/>
  <c r="H74" i="196"/>
  <c r="F73" i="196"/>
  <c r="F74" i="196"/>
  <c r="L80" i="196"/>
  <c r="L81" i="196"/>
  <c r="L82" i="196"/>
  <c r="J80" i="196"/>
  <c r="J81" i="196"/>
  <c r="J82" i="196"/>
  <c r="H80" i="196"/>
  <c r="H81" i="196"/>
  <c r="H82" i="196"/>
  <c r="F80" i="196"/>
  <c r="F81" i="196"/>
  <c r="F82" i="196"/>
  <c r="C84" i="196"/>
  <c r="L61" i="196"/>
  <c r="L62" i="196"/>
  <c r="L58" i="196"/>
  <c r="J61" i="196"/>
  <c r="J58" i="196"/>
  <c r="H61" i="196"/>
  <c r="H58" i="196"/>
  <c r="F61" i="196"/>
  <c r="F58" i="196"/>
  <c r="L64" i="196"/>
  <c r="L63" i="196"/>
  <c r="L60" i="196"/>
  <c r="L59" i="196"/>
  <c r="J64" i="196"/>
  <c r="J63" i="196"/>
  <c r="J60" i="196"/>
  <c r="J59" i="196"/>
  <c r="H64" i="196"/>
  <c r="H63" i="196"/>
  <c r="H60" i="196"/>
  <c r="H59" i="196"/>
  <c r="F64" i="196"/>
  <c r="F63" i="196"/>
  <c r="F60" i="196"/>
  <c r="F59" i="196"/>
  <c r="K65" i="196"/>
  <c r="E65" i="196"/>
  <c r="C65" i="196"/>
  <c r="K124" i="196"/>
  <c r="K131" i="196"/>
  <c r="L130" i="196"/>
  <c r="L129" i="196"/>
  <c r="L128" i="196"/>
  <c r="L127" i="196"/>
  <c r="L123" i="196"/>
  <c r="L122" i="196"/>
  <c r="L121" i="196"/>
  <c r="L120" i="196"/>
  <c r="L119" i="196"/>
  <c r="L118" i="196"/>
  <c r="L117" i="196"/>
  <c r="L116" i="196"/>
  <c r="L115" i="196"/>
  <c r="L114" i="196"/>
  <c r="K112" i="196"/>
  <c r="L111" i="196"/>
  <c r="L110" i="196"/>
  <c r="L109" i="196"/>
  <c r="L108" i="196"/>
  <c r="L107" i="196"/>
  <c r="L106" i="196"/>
  <c r="K101" i="196"/>
  <c r="L100" i="196"/>
  <c r="L99" i="196"/>
  <c r="L98" i="196"/>
  <c r="L97" i="196"/>
  <c r="L96" i="196"/>
  <c r="L95" i="196"/>
  <c r="K93" i="196"/>
  <c r="L92" i="196"/>
  <c r="L91" i="196"/>
  <c r="L90" i="196"/>
  <c r="L89" i="196"/>
  <c r="L88" i="196"/>
  <c r="L87" i="196"/>
  <c r="L86" i="196"/>
  <c r="K84" i="196"/>
  <c r="L83" i="196"/>
  <c r="L79" i="196"/>
  <c r="L78" i="196"/>
  <c r="L77" i="196"/>
  <c r="L76" i="196"/>
  <c r="L75" i="196"/>
  <c r="L72" i="196"/>
  <c r="L71" i="196"/>
  <c r="L70" i="196"/>
  <c r="K55" i="196"/>
  <c r="L54" i="196"/>
  <c r="L53" i="196"/>
  <c r="L52" i="196"/>
  <c r="K50" i="196"/>
  <c r="L49" i="196"/>
  <c r="L48" i="196"/>
  <c r="K46" i="196"/>
  <c r="L45" i="196"/>
  <c r="L44" i="196"/>
  <c r="L43" i="196"/>
  <c r="L42" i="196"/>
  <c r="K40" i="196"/>
  <c r="L39" i="196"/>
  <c r="L38" i="196"/>
  <c r="L37" i="196"/>
  <c r="K32" i="196"/>
  <c r="L31" i="196"/>
  <c r="L30" i="196"/>
  <c r="L29" i="196"/>
  <c r="L28" i="196"/>
  <c r="K26" i="196"/>
  <c r="L25" i="196"/>
  <c r="L24" i="196"/>
  <c r="L23" i="196"/>
  <c r="L22" i="196"/>
  <c r="K20" i="196"/>
  <c r="L19" i="196"/>
  <c r="L18" i="196"/>
  <c r="L17" i="196"/>
  <c r="L16" i="196"/>
  <c r="L15" i="196"/>
  <c r="L14" i="196"/>
  <c r="L13" i="196"/>
  <c r="L12" i="196"/>
  <c r="K10" i="196"/>
  <c r="L9" i="196"/>
  <c r="L8" i="196"/>
  <c r="L7" i="196"/>
  <c r="L6" i="196"/>
  <c r="L5" i="196"/>
  <c r="K125" i="196" l="1"/>
  <c r="K102" i="196"/>
  <c r="K66" i="196"/>
  <c r="K33" i="196"/>
  <c r="K132" i="196" l="1"/>
  <c r="P13" i="37"/>
  <c r="N13" i="37"/>
  <c r="L13" i="37"/>
  <c r="F13" i="37"/>
  <c r="P11" i="37"/>
  <c r="N11" i="37"/>
  <c r="L11" i="37"/>
  <c r="F11" i="37"/>
  <c r="P9" i="37"/>
  <c r="N9" i="37"/>
  <c r="L9" i="37"/>
  <c r="F9" i="37"/>
  <c r="P7" i="37"/>
  <c r="N7" i="37"/>
  <c r="L7" i="37"/>
  <c r="F7" i="37"/>
  <c r="R7" i="37" l="1"/>
  <c r="Q7" i="37" s="1"/>
  <c r="R9" i="37"/>
  <c r="Q9" i="37" s="1"/>
  <c r="R11" i="37"/>
  <c r="R13" i="37"/>
  <c r="Q13" i="37" s="1"/>
  <c r="I7" i="37"/>
  <c r="C7" i="37"/>
  <c r="M7" i="37"/>
  <c r="K7" i="37"/>
  <c r="K9" i="37"/>
  <c r="I11" i="37"/>
  <c r="C11" i="37"/>
  <c r="Q11" i="37"/>
  <c r="O11" i="37"/>
  <c r="M11" i="37"/>
  <c r="K11" i="37"/>
  <c r="G11" i="37"/>
  <c r="E11" i="37"/>
  <c r="C13" i="37"/>
  <c r="O13" i="37"/>
  <c r="K13" i="37"/>
  <c r="E13" i="37"/>
  <c r="AE84" i="274"/>
  <c r="AE83" i="274"/>
  <c r="AE82" i="274"/>
  <c r="AE81" i="274"/>
  <c r="AC84" i="274"/>
  <c r="AC83" i="274"/>
  <c r="AC82" i="274"/>
  <c r="AC81" i="274"/>
  <c r="AC80" i="274"/>
  <c r="AE80" i="274"/>
  <c r="AA84" i="274"/>
  <c r="AA83" i="274"/>
  <c r="AA82" i="274"/>
  <c r="AA81" i="274"/>
  <c r="AA80" i="274"/>
  <c r="Y84" i="274"/>
  <c r="Y83" i="274"/>
  <c r="Y82" i="274"/>
  <c r="Y81" i="274"/>
  <c r="Y80" i="274"/>
  <c r="W84" i="274"/>
  <c r="W83" i="274"/>
  <c r="W82" i="274"/>
  <c r="W81" i="274"/>
  <c r="W80" i="274"/>
  <c r="U84" i="274"/>
  <c r="S84" i="274"/>
  <c r="Q84" i="274"/>
  <c r="O84" i="274"/>
  <c r="M84" i="274"/>
  <c r="U83" i="274"/>
  <c r="S83" i="274"/>
  <c r="Q83" i="274"/>
  <c r="O83" i="274"/>
  <c r="M83" i="274"/>
  <c r="U82" i="274"/>
  <c r="S82" i="274"/>
  <c r="Q82" i="274"/>
  <c r="O82" i="274"/>
  <c r="M82" i="274"/>
  <c r="U81" i="274"/>
  <c r="S81" i="274"/>
  <c r="Q81" i="274"/>
  <c r="O81" i="274"/>
  <c r="M81" i="274"/>
  <c r="U80" i="274"/>
  <c r="S80" i="274"/>
  <c r="Q80" i="274"/>
  <c r="O80" i="274"/>
  <c r="M80" i="274"/>
  <c r="K84" i="274"/>
  <c r="K83" i="274"/>
  <c r="K82" i="274"/>
  <c r="K81" i="274"/>
  <c r="K80" i="274"/>
  <c r="I84" i="274"/>
  <c r="I83" i="274"/>
  <c r="I82" i="274"/>
  <c r="I81" i="274"/>
  <c r="I80" i="274"/>
  <c r="G84" i="274"/>
  <c r="G83" i="274"/>
  <c r="G82" i="274"/>
  <c r="G81" i="274"/>
  <c r="G80" i="274"/>
  <c r="AC63" i="274"/>
  <c r="AC62" i="274"/>
  <c r="AC60" i="274"/>
  <c r="AA63" i="274"/>
  <c r="AA62" i="274"/>
  <c r="AA60" i="274"/>
  <c r="Y63" i="274"/>
  <c r="Y62" i="274"/>
  <c r="Y60" i="274"/>
  <c r="W63" i="274"/>
  <c r="W62" i="274"/>
  <c r="W60" i="274"/>
  <c r="U63" i="274"/>
  <c r="U62" i="274"/>
  <c r="U60" i="274"/>
  <c r="S63" i="274"/>
  <c r="S62" i="274"/>
  <c r="S60" i="274"/>
  <c r="Q63" i="274"/>
  <c r="Q62" i="274"/>
  <c r="Q60" i="274"/>
  <c r="O63" i="274"/>
  <c r="O62" i="274"/>
  <c r="O60" i="274"/>
  <c r="M63" i="274"/>
  <c r="M62" i="274"/>
  <c r="M60" i="274"/>
  <c r="K63" i="274"/>
  <c r="K62" i="274"/>
  <c r="K60" i="274"/>
  <c r="I64" i="274"/>
  <c r="I63" i="274"/>
  <c r="I62" i="274"/>
  <c r="I61" i="274"/>
  <c r="I60" i="274"/>
  <c r="G63" i="274"/>
  <c r="G62" i="274"/>
  <c r="G60" i="274"/>
  <c r="AD65" i="274"/>
  <c r="AB65" i="274"/>
  <c r="Z65" i="274"/>
  <c r="X65" i="274"/>
  <c r="V65" i="274"/>
  <c r="T65" i="274"/>
  <c r="R65" i="274"/>
  <c r="P65" i="274"/>
  <c r="N65" i="274"/>
  <c r="L65" i="274"/>
  <c r="J65" i="274"/>
  <c r="H65" i="274"/>
  <c r="F65" i="274"/>
  <c r="E65" i="274"/>
  <c r="D65" i="274"/>
  <c r="C65" i="274"/>
  <c r="B65" i="274"/>
  <c r="AE63" i="274"/>
  <c r="AE62" i="274"/>
  <c r="AE61" i="274"/>
  <c r="AE60" i="274"/>
  <c r="AC61" i="274"/>
  <c r="AA61" i="274"/>
  <c r="Y61" i="274"/>
  <c r="W61" i="274"/>
  <c r="U61" i="274"/>
  <c r="S61" i="274"/>
  <c r="Q61" i="274"/>
  <c r="O61" i="274"/>
  <c r="M61" i="274"/>
  <c r="K61" i="274"/>
  <c r="G61" i="274"/>
  <c r="AD48" i="274"/>
  <c r="AB48" i="274"/>
  <c r="Z48" i="274"/>
  <c r="X48" i="274"/>
  <c r="V48" i="274"/>
  <c r="T48" i="274"/>
  <c r="R48" i="274"/>
  <c r="P48" i="274"/>
  <c r="N48" i="274"/>
  <c r="E48" i="274"/>
  <c r="D48" i="274"/>
  <c r="C48" i="274"/>
  <c r="B48" i="274"/>
  <c r="AC46" i="274"/>
  <c r="AE46" i="274"/>
  <c r="AA46" i="274"/>
  <c r="Y46" i="274"/>
  <c r="W46" i="274"/>
  <c r="U46" i="274"/>
  <c r="S46" i="274"/>
  <c r="Q46" i="274"/>
  <c r="O46" i="274"/>
  <c r="M46" i="274"/>
  <c r="K46" i="274"/>
  <c r="I46" i="274"/>
  <c r="G46" i="274"/>
  <c r="AD137" i="274"/>
  <c r="AE136" i="274"/>
  <c r="AE135" i="274"/>
  <c r="AE134" i="274"/>
  <c r="AD130" i="274"/>
  <c r="AE129" i="274"/>
  <c r="AE128" i="274"/>
  <c r="AE127" i="274"/>
  <c r="AE126" i="274"/>
  <c r="AE125" i="274"/>
  <c r="AE124" i="274"/>
  <c r="AE123" i="274"/>
  <c r="AE122" i="274"/>
  <c r="AE121" i="274"/>
  <c r="AE120" i="274"/>
  <c r="AE119" i="274"/>
  <c r="AE118" i="274"/>
  <c r="AE117" i="274"/>
  <c r="AD115" i="274"/>
  <c r="AE114" i="274"/>
  <c r="AE113" i="274"/>
  <c r="AE112" i="274"/>
  <c r="AE111" i="274"/>
  <c r="AE110" i="274"/>
  <c r="AE109" i="274"/>
  <c r="AD104" i="274"/>
  <c r="AE103" i="274"/>
  <c r="AE102" i="274"/>
  <c r="AE101" i="274"/>
  <c r="AE100" i="274"/>
  <c r="AE99" i="274"/>
  <c r="AD97" i="274"/>
  <c r="AE96" i="274"/>
  <c r="AE95" i="274"/>
  <c r="AE94" i="274"/>
  <c r="AE93" i="274"/>
  <c r="AE92" i="274"/>
  <c r="AE91" i="274"/>
  <c r="AE90" i="274"/>
  <c r="AD88" i="274"/>
  <c r="AE87" i="274"/>
  <c r="AE86" i="274"/>
  <c r="AE85" i="274"/>
  <c r="AE79" i="274"/>
  <c r="AE78" i="274"/>
  <c r="AE77" i="274"/>
  <c r="AE76" i="274"/>
  <c r="AE75" i="274"/>
  <c r="AE74" i="274"/>
  <c r="AE73" i="274"/>
  <c r="AE72" i="274"/>
  <c r="AE71" i="274"/>
  <c r="AE70" i="274"/>
  <c r="AE64" i="274"/>
  <c r="AE59" i="274"/>
  <c r="AD57" i="274"/>
  <c r="AE56" i="274"/>
  <c r="AE55" i="274"/>
  <c r="AE54" i="274"/>
  <c r="AD52" i="274"/>
  <c r="AE51" i="274"/>
  <c r="AE50" i="274"/>
  <c r="AE48" i="274"/>
  <c r="AE47" i="274"/>
  <c r="AE45" i="274"/>
  <c r="AE44" i="274"/>
  <c r="AD42" i="274"/>
  <c r="AE41" i="274"/>
  <c r="AE40" i="274"/>
  <c r="AE39" i="274"/>
  <c r="AD34" i="274"/>
  <c r="AE33" i="274"/>
  <c r="AE32" i="274"/>
  <c r="AE31" i="274"/>
  <c r="AE30" i="274"/>
  <c r="AD28" i="274"/>
  <c r="AE27" i="274"/>
  <c r="AE26" i="274"/>
  <c r="AE25" i="274"/>
  <c r="AE24" i="274"/>
  <c r="AD22" i="274"/>
  <c r="AE21" i="274"/>
  <c r="AE20" i="274"/>
  <c r="AE19" i="274"/>
  <c r="AE18" i="274"/>
  <c r="AE17" i="274"/>
  <c r="AE16" i="274"/>
  <c r="AE15" i="274"/>
  <c r="AD13" i="274"/>
  <c r="AE12" i="274"/>
  <c r="AE11" i="274"/>
  <c r="AE10" i="274"/>
  <c r="AE9" i="274"/>
  <c r="AE8" i="274"/>
  <c r="AE7" i="274"/>
  <c r="M13" i="37" l="1"/>
  <c r="I13" i="37"/>
  <c r="G13" i="37"/>
  <c r="C9" i="37"/>
  <c r="M9" i="37"/>
  <c r="E9" i="37"/>
  <c r="O9" i="37"/>
  <c r="E7" i="37"/>
  <c r="O7" i="37"/>
  <c r="I9" i="37"/>
  <c r="S13" i="37"/>
  <c r="S11" i="37"/>
  <c r="G9" i="37"/>
  <c r="S9" i="37" s="1"/>
  <c r="G7" i="37"/>
  <c r="S7" i="37" s="1"/>
  <c r="AD131" i="274"/>
  <c r="AD105" i="274"/>
  <c r="AD66" i="274"/>
  <c r="AD35" i="274"/>
  <c r="AD138" i="274" l="1"/>
  <c r="M51" i="29" l="1"/>
  <c r="L49" i="29"/>
  <c r="L50" i="29" s="1"/>
  <c r="M48" i="29"/>
  <c r="M47" i="29"/>
  <c r="M46" i="29"/>
  <c r="M45" i="29"/>
  <c r="M44" i="29"/>
  <c r="M43" i="29"/>
  <c r="M42" i="29"/>
  <c r="M41" i="29"/>
  <c r="M40" i="29"/>
  <c r="M39" i="29"/>
  <c r="M38" i="29"/>
  <c r="M37" i="29"/>
  <c r="M36" i="29"/>
  <c r="M35" i="29"/>
  <c r="M34" i="29"/>
  <c r="M33" i="29"/>
  <c r="M32" i="29"/>
  <c r="M31" i="29"/>
  <c r="M30" i="29"/>
  <c r="M29" i="29"/>
  <c r="M28" i="29"/>
  <c r="M27" i="29"/>
  <c r="M26" i="29"/>
  <c r="M25" i="29"/>
  <c r="M24" i="29"/>
  <c r="M23" i="29"/>
  <c r="M22" i="29"/>
  <c r="M21" i="29"/>
  <c r="M20" i="29"/>
  <c r="M19" i="29"/>
  <c r="M18" i="29"/>
  <c r="M17" i="29"/>
  <c r="M16" i="29"/>
  <c r="M15" i="29"/>
  <c r="M14" i="29"/>
  <c r="M13" i="29"/>
  <c r="M12" i="29"/>
  <c r="M11" i="29"/>
  <c r="M10" i="29"/>
  <c r="M9" i="29"/>
  <c r="M8" i="29"/>
  <c r="M7" i="29"/>
  <c r="M6" i="29"/>
  <c r="G11" i="305"/>
  <c r="K124" i="159"/>
  <c r="L60" i="159"/>
  <c r="L59" i="159"/>
  <c r="L58" i="159"/>
  <c r="L57" i="159"/>
  <c r="J60" i="159"/>
  <c r="J59" i="159"/>
  <c r="J58" i="159"/>
  <c r="J57" i="159"/>
  <c r="J56" i="159"/>
  <c r="H60" i="159"/>
  <c r="H59" i="159"/>
  <c r="H58" i="159"/>
  <c r="H57" i="159"/>
  <c r="F60" i="159"/>
  <c r="F59" i="159"/>
  <c r="F58" i="159"/>
  <c r="F57" i="159"/>
  <c r="D60" i="159"/>
  <c r="D59" i="159"/>
  <c r="D58" i="159"/>
  <c r="D57" i="159"/>
  <c r="K62" i="159"/>
  <c r="I62" i="159"/>
  <c r="G62" i="159"/>
  <c r="E62" i="159"/>
  <c r="C62" i="159"/>
  <c r="K45" i="159"/>
  <c r="I45" i="159"/>
  <c r="G45" i="159"/>
  <c r="C45" i="159"/>
  <c r="B45" i="159"/>
  <c r="L43" i="159"/>
  <c r="J43" i="159"/>
  <c r="H43" i="159"/>
  <c r="F43" i="159"/>
  <c r="D43" i="159"/>
  <c r="L77" i="159"/>
  <c r="L76" i="159"/>
  <c r="L75" i="159"/>
  <c r="J77" i="159"/>
  <c r="J76" i="159"/>
  <c r="J75" i="159"/>
  <c r="H77" i="159"/>
  <c r="H76" i="159"/>
  <c r="H75" i="159"/>
  <c r="F77" i="159"/>
  <c r="F76" i="159"/>
  <c r="F75" i="159"/>
  <c r="D77" i="159"/>
  <c r="D76" i="159"/>
  <c r="D75" i="159"/>
  <c r="J74" i="159"/>
  <c r="L74" i="159"/>
  <c r="H74" i="159"/>
  <c r="F74" i="159"/>
  <c r="D74" i="159"/>
  <c r="J73" i="159"/>
  <c r="L73" i="159"/>
  <c r="H73" i="159"/>
  <c r="F73" i="159"/>
  <c r="D73" i="159"/>
  <c r="L53" i="29" l="1"/>
  <c r="K128" i="159"/>
  <c r="L127" i="159"/>
  <c r="L126" i="159"/>
  <c r="L125" i="159"/>
  <c r="L124" i="159"/>
  <c r="K121" i="159"/>
  <c r="L120" i="159"/>
  <c r="L119" i="159"/>
  <c r="L118" i="159"/>
  <c r="L117" i="159"/>
  <c r="L116" i="159"/>
  <c r="L115" i="159"/>
  <c r="L114" i="159"/>
  <c r="L113" i="159"/>
  <c r="L112" i="159"/>
  <c r="L111" i="159"/>
  <c r="L110" i="159"/>
  <c r="L109" i="159"/>
  <c r="K107" i="159"/>
  <c r="L106" i="159"/>
  <c r="L105" i="159"/>
  <c r="L104" i="159"/>
  <c r="L103" i="159"/>
  <c r="L102" i="159"/>
  <c r="L101" i="159"/>
  <c r="K96" i="159"/>
  <c r="L95" i="159"/>
  <c r="L94" i="159"/>
  <c r="L93" i="159"/>
  <c r="L92" i="159"/>
  <c r="L91" i="159"/>
  <c r="K89" i="159"/>
  <c r="L88" i="159"/>
  <c r="L87" i="159"/>
  <c r="L86" i="159"/>
  <c r="L85" i="159"/>
  <c r="L84" i="159"/>
  <c r="L83" i="159"/>
  <c r="K81" i="159"/>
  <c r="L80" i="159"/>
  <c r="L79" i="159"/>
  <c r="L78" i="159"/>
  <c r="L72" i="159"/>
  <c r="L71" i="159"/>
  <c r="L70" i="159"/>
  <c r="L69" i="159"/>
  <c r="L68" i="159"/>
  <c r="L67" i="159"/>
  <c r="L61" i="159"/>
  <c r="L56" i="159"/>
  <c r="K54" i="159"/>
  <c r="L53" i="159"/>
  <c r="L52" i="159"/>
  <c r="L51" i="159"/>
  <c r="K49" i="159"/>
  <c r="L48" i="159"/>
  <c r="L47" i="159"/>
  <c r="L45" i="159"/>
  <c r="L44" i="159"/>
  <c r="L42" i="159"/>
  <c r="K40" i="159"/>
  <c r="L39" i="159"/>
  <c r="L38" i="159"/>
  <c r="K33" i="159"/>
  <c r="L32" i="159"/>
  <c r="L31" i="159"/>
  <c r="L30" i="159"/>
  <c r="L29" i="159"/>
  <c r="K27" i="159"/>
  <c r="L26" i="159"/>
  <c r="L25" i="159"/>
  <c r="L24" i="159"/>
  <c r="K22" i="159"/>
  <c r="L21" i="159"/>
  <c r="L20" i="159"/>
  <c r="L19" i="159"/>
  <c r="L18" i="159"/>
  <c r="L17" i="159"/>
  <c r="L16" i="159"/>
  <c r="L15" i="159"/>
  <c r="K13" i="159"/>
  <c r="L12" i="159"/>
  <c r="L11" i="159"/>
  <c r="L10" i="159"/>
  <c r="L9" i="159"/>
  <c r="L8" i="159"/>
  <c r="L7" i="159"/>
  <c r="L6" i="159"/>
  <c r="G52" i="35"/>
  <c r="G56" i="35" s="1"/>
  <c r="G53" i="34"/>
  <c r="G53" i="36"/>
  <c r="G57" i="36" s="1"/>
  <c r="G17" i="259"/>
  <c r="I13" i="33"/>
  <c r="H13" i="33"/>
  <c r="G13" i="33"/>
  <c r="D13" i="33"/>
  <c r="I11" i="33"/>
  <c r="H11" i="33"/>
  <c r="G11" i="33"/>
  <c r="D11" i="33"/>
  <c r="I9" i="33"/>
  <c r="H9" i="33"/>
  <c r="G9" i="33"/>
  <c r="D9" i="33"/>
  <c r="I7" i="33"/>
  <c r="H7" i="33"/>
  <c r="G7" i="33"/>
  <c r="D7" i="33"/>
  <c r="J7" i="33" l="1"/>
  <c r="J9" i="33"/>
  <c r="J11" i="33"/>
  <c r="J13" i="33"/>
  <c r="K122" i="159"/>
  <c r="K97" i="159"/>
  <c r="K63" i="159"/>
  <c r="K34" i="159"/>
  <c r="L62" i="159"/>
  <c r="X12" i="27"/>
  <c r="X11" i="27"/>
  <c r="X10" i="27"/>
  <c r="X9" i="27"/>
  <c r="X8" i="27"/>
  <c r="X7" i="27"/>
  <c r="X6" i="27"/>
  <c r="X5" i="27"/>
  <c r="K129" i="159" l="1"/>
  <c r="X13" i="27"/>
  <c r="K24" i="27"/>
  <c r="L22" i="27"/>
  <c r="L20" i="27"/>
  <c r="K18" i="27"/>
  <c r="K26" i="27" s="1"/>
  <c r="L16" i="27"/>
  <c r="L14" i="27"/>
  <c r="L12" i="27"/>
  <c r="L10" i="27"/>
  <c r="L8" i="27"/>
  <c r="L6" i="27"/>
  <c r="H16" i="21" l="1"/>
  <c r="E16" i="21"/>
  <c r="T13" i="239"/>
  <c r="U11" i="239"/>
  <c r="U9" i="239"/>
  <c r="U7" i="239"/>
  <c r="AB107" i="161" l="1"/>
  <c r="AA107" i="161"/>
  <c r="AC107" i="161" s="1"/>
  <c r="Z107" i="161"/>
  <c r="W107" i="161"/>
  <c r="V107" i="161"/>
  <c r="U107" i="161"/>
  <c r="X107" i="161" s="1"/>
  <c r="AD107" i="161" s="1"/>
  <c r="R107" i="161"/>
  <c r="Q107" i="161"/>
  <c r="S107" i="161" s="1"/>
  <c r="Y107" i="161" s="1"/>
  <c r="P107" i="161"/>
  <c r="M107" i="161"/>
  <c r="L107" i="161"/>
  <c r="K107" i="161"/>
  <c r="N107" i="161" s="1"/>
  <c r="T107" i="161" s="1"/>
  <c r="H107" i="161"/>
  <c r="G107" i="161"/>
  <c r="I107" i="161" s="1"/>
  <c r="O107" i="161" s="1"/>
  <c r="F107" i="161"/>
  <c r="D107" i="161"/>
  <c r="C107" i="161"/>
  <c r="B107" i="161"/>
  <c r="AC107" i="160"/>
  <c r="X107" i="160"/>
  <c r="AD107" i="160" s="1"/>
  <c r="S107" i="160"/>
  <c r="N107" i="160"/>
  <c r="T107" i="160" s="1"/>
  <c r="I107" i="160"/>
  <c r="E107" i="160"/>
  <c r="J107" i="160" s="1"/>
  <c r="O107" i="160" l="1"/>
  <c r="Y107" i="160"/>
  <c r="E107" i="161"/>
  <c r="J107" i="161" s="1"/>
  <c r="AB76" i="161" l="1"/>
  <c r="AA76" i="161"/>
  <c r="AC76" i="161" s="1"/>
  <c r="Z76" i="161"/>
  <c r="W76" i="161"/>
  <c r="V76" i="161"/>
  <c r="U76" i="161"/>
  <c r="X76" i="161" s="1"/>
  <c r="AD76" i="161" s="1"/>
  <c r="R76" i="161"/>
  <c r="Q76" i="161"/>
  <c r="P76" i="161"/>
  <c r="M76" i="161"/>
  <c r="L76" i="161"/>
  <c r="K76" i="161"/>
  <c r="H76" i="161"/>
  <c r="G76" i="161"/>
  <c r="I76" i="161" s="1"/>
  <c r="F76" i="161"/>
  <c r="D76" i="161"/>
  <c r="C76" i="161"/>
  <c r="B76" i="161"/>
  <c r="AC76" i="160"/>
  <c r="X76" i="160"/>
  <c r="Y76" i="160" s="1"/>
  <c r="S76" i="160"/>
  <c r="N76" i="160"/>
  <c r="O76" i="160" s="1"/>
  <c r="I76" i="160"/>
  <c r="E76" i="160"/>
  <c r="AB62" i="161"/>
  <c r="AA62" i="161"/>
  <c r="Z62" i="161"/>
  <c r="AB66" i="160"/>
  <c r="AA66" i="160"/>
  <c r="Z66" i="160"/>
  <c r="W66" i="160"/>
  <c r="V66" i="160"/>
  <c r="U66" i="160"/>
  <c r="R66" i="160"/>
  <c r="Q66" i="160"/>
  <c r="P66" i="160"/>
  <c r="M66" i="160"/>
  <c r="L66" i="160"/>
  <c r="K66" i="160"/>
  <c r="H66" i="160"/>
  <c r="G66" i="160"/>
  <c r="F66" i="160"/>
  <c r="D66" i="160"/>
  <c r="C66" i="160"/>
  <c r="B66" i="160"/>
  <c r="AB64" i="161"/>
  <c r="AA64" i="161"/>
  <c r="Z64" i="161"/>
  <c r="W64" i="161"/>
  <c r="V64" i="161"/>
  <c r="U64" i="161"/>
  <c r="R64" i="161"/>
  <c r="Q64" i="161"/>
  <c r="P64" i="161"/>
  <c r="M64" i="161"/>
  <c r="L64" i="161"/>
  <c r="K64" i="161"/>
  <c r="H64" i="161"/>
  <c r="G64" i="161"/>
  <c r="F64" i="161"/>
  <c r="D64" i="161"/>
  <c r="C64" i="161"/>
  <c r="B64" i="161"/>
  <c r="AB63" i="161"/>
  <c r="AA63" i="161"/>
  <c r="Z63" i="161"/>
  <c r="W63" i="161"/>
  <c r="V63" i="161"/>
  <c r="U63" i="161"/>
  <c r="R63" i="161"/>
  <c r="Q63" i="161"/>
  <c r="P63" i="161"/>
  <c r="M63" i="161"/>
  <c r="L63" i="161"/>
  <c r="K63" i="161"/>
  <c r="H63" i="161"/>
  <c r="G63" i="161"/>
  <c r="F63" i="161"/>
  <c r="D63" i="161"/>
  <c r="C63" i="161"/>
  <c r="B63" i="161"/>
  <c r="AC64" i="160"/>
  <c r="X64" i="160"/>
  <c r="S64" i="160"/>
  <c r="N64" i="160"/>
  <c r="I64" i="160"/>
  <c r="E64" i="160"/>
  <c r="AC63" i="160"/>
  <c r="X63" i="160"/>
  <c r="S63" i="160"/>
  <c r="N63" i="160"/>
  <c r="I63" i="160"/>
  <c r="E63" i="160"/>
  <c r="W62" i="161"/>
  <c r="V62" i="161"/>
  <c r="U62" i="161"/>
  <c r="R62" i="161"/>
  <c r="Q62" i="161"/>
  <c r="P62" i="161"/>
  <c r="M62" i="161"/>
  <c r="L62" i="161"/>
  <c r="K62" i="161"/>
  <c r="H62" i="161"/>
  <c r="G62" i="161"/>
  <c r="F62" i="161"/>
  <c r="D62" i="161"/>
  <c r="C62" i="161"/>
  <c r="B62" i="161"/>
  <c r="AC62" i="160"/>
  <c r="X62" i="160"/>
  <c r="S62" i="160"/>
  <c r="N62" i="160"/>
  <c r="I62" i="160"/>
  <c r="E62" i="160"/>
  <c r="AB113" i="161"/>
  <c r="AA113" i="161"/>
  <c r="Z113" i="161"/>
  <c r="AB112" i="161"/>
  <c r="AA112" i="161"/>
  <c r="Z112" i="161"/>
  <c r="AB111" i="161"/>
  <c r="AA111" i="161"/>
  <c r="Z111" i="161"/>
  <c r="AB110" i="161"/>
  <c r="AA110" i="161"/>
  <c r="Z110" i="161"/>
  <c r="AB109" i="161"/>
  <c r="AA109" i="161"/>
  <c r="Z109" i="161"/>
  <c r="AB108" i="161"/>
  <c r="AA108" i="161"/>
  <c r="Z108" i="161"/>
  <c r="AB106" i="161"/>
  <c r="AA106" i="161"/>
  <c r="Z106" i="161"/>
  <c r="AB100" i="161"/>
  <c r="AA100" i="161"/>
  <c r="Z100" i="161"/>
  <c r="AB99" i="161"/>
  <c r="AA99" i="161"/>
  <c r="Z99" i="161"/>
  <c r="AB96" i="161"/>
  <c r="AA96" i="161"/>
  <c r="Z96" i="161"/>
  <c r="AB95" i="161"/>
  <c r="AA95" i="161"/>
  <c r="Z95" i="161"/>
  <c r="AB94" i="161"/>
  <c r="AA94" i="161"/>
  <c r="Z94" i="161"/>
  <c r="AB93" i="161"/>
  <c r="AA93" i="161"/>
  <c r="Z93" i="161"/>
  <c r="AB90" i="161"/>
  <c r="AA90" i="161"/>
  <c r="Z90" i="161"/>
  <c r="AB89" i="161"/>
  <c r="AA89" i="161"/>
  <c r="Z89" i="161"/>
  <c r="AB87" i="161"/>
  <c r="AA87" i="161"/>
  <c r="Z87" i="161"/>
  <c r="AB78" i="161"/>
  <c r="AA78" i="161"/>
  <c r="Z78" i="161"/>
  <c r="AB77" i="161"/>
  <c r="AA77" i="161"/>
  <c r="Z77" i="161"/>
  <c r="AB75" i="161"/>
  <c r="AA75" i="161"/>
  <c r="Z75" i="161"/>
  <c r="AB72" i="161"/>
  <c r="AA72" i="161"/>
  <c r="Z72" i="161"/>
  <c r="AB71" i="161"/>
  <c r="AA71" i="161"/>
  <c r="Z71" i="161"/>
  <c r="AB70" i="161"/>
  <c r="AA70" i="161"/>
  <c r="Z70" i="161"/>
  <c r="AB69" i="161"/>
  <c r="AA69" i="161"/>
  <c r="Z69" i="161"/>
  <c r="AB68" i="161"/>
  <c r="AB73" i="161" s="1"/>
  <c r="AA68" i="161"/>
  <c r="Z68" i="161"/>
  <c r="AB65" i="161"/>
  <c r="AA65" i="161"/>
  <c r="Z65" i="161"/>
  <c r="AB61" i="161"/>
  <c r="AA61" i="161"/>
  <c r="Z61" i="161"/>
  <c r="AB58" i="161"/>
  <c r="AA58" i="161"/>
  <c r="Z58" i="161"/>
  <c r="AB57" i="161"/>
  <c r="AA57" i="161"/>
  <c r="Z57" i="161"/>
  <c r="AC57" i="161" s="1"/>
  <c r="AB56" i="161"/>
  <c r="AA56" i="161"/>
  <c r="Z56" i="161"/>
  <c r="AB55" i="161"/>
  <c r="AA55" i="161"/>
  <c r="Z55" i="161"/>
  <c r="AB54" i="161"/>
  <c r="AA54" i="161"/>
  <c r="Z54" i="161"/>
  <c r="AB51" i="161"/>
  <c r="AA51" i="161"/>
  <c r="Z51" i="161"/>
  <c r="AB50" i="161"/>
  <c r="AA50" i="161"/>
  <c r="Z50" i="161"/>
  <c r="AB49" i="161"/>
  <c r="AA49" i="161"/>
  <c r="Z49" i="161"/>
  <c r="AB41" i="161"/>
  <c r="AA41" i="161"/>
  <c r="Z41" i="161"/>
  <c r="AB39" i="161"/>
  <c r="AA39" i="161"/>
  <c r="Z39" i="161"/>
  <c r="AB36" i="161"/>
  <c r="AA36" i="161"/>
  <c r="Z36" i="161"/>
  <c r="AB35" i="161"/>
  <c r="AA35" i="161"/>
  <c r="Z35" i="161"/>
  <c r="AB34" i="161"/>
  <c r="AA34" i="161"/>
  <c r="Z34" i="161"/>
  <c r="AB33" i="161"/>
  <c r="AA33" i="161"/>
  <c r="Z33" i="161"/>
  <c r="AB32" i="161"/>
  <c r="AA32" i="161"/>
  <c r="Z32" i="161"/>
  <c r="AB31" i="161"/>
  <c r="AA31" i="161"/>
  <c r="Z31" i="161"/>
  <c r="AB30" i="161"/>
  <c r="AA30" i="161"/>
  <c r="Z30" i="161"/>
  <c r="AB29" i="161"/>
  <c r="AA29" i="161"/>
  <c r="Z29" i="161"/>
  <c r="AB20" i="161"/>
  <c r="AA20" i="161"/>
  <c r="Z20" i="161"/>
  <c r="AB19" i="161"/>
  <c r="AA19" i="161"/>
  <c r="Z19" i="161"/>
  <c r="AC19" i="161" s="1"/>
  <c r="AB18" i="161"/>
  <c r="AA18" i="161"/>
  <c r="Z18" i="161"/>
  <c r="AB17" i="161"/>
  <c r="AB21" i="161" s="1"/>
  <c r="AA17" i="161"/>
  <c r="Z17" i="161"/>
  <c r="AB14" i="161"/>
  <c r="AA14" i="161"/>
  <c r="Z14" i="161"/>
  <c r="AB13" i="161"/>
  <c r="AA13" i="161"/>
  <c r="Z13" i="161"/>
  <c r="AB12" i="161"/>
  <c r="AA12" i="161"/>
  <c r="Z12" i="161"/>
  <c r="AB11" i="161"/>
  <c r="AA11" i="161"/>
  <c r="Z11" i="161"/>
  <c r="AB10" i="161"/>
  <c r="AA10" i="161"/>
  <c r="Z10" i="161"/>
  <c r="AB9" i="161"/>
  <c r="AA9" i="161"/>
  <c r="Z9" i="161"/>
  <c r="AB8" i="161"/>
  <c r="AA8" i="161"/>
  <c r="Z8" i="161"/>
  <c r="AB7" i="161"/>
  <c r="AA7" i="161"/>
  <c r="Z7" i="161"/>
  <c r="AB114" i="160"/>
  <c r="AA114" i="160"/>
  <c r="Z114" i="160"/>
  <c r="AC113" i="160"/>
  <c r="AC112" i="160"/>
  <c r="AC111" i="160"/>
  <c r="AC110" i="160"/>
  <c r="AC109" i="160"/>
  <c r="AC108" i="160"/>
  <c r="AC106" i="160"/>
  <c r="AB101" i="160"/>
  <c r="AA101" i="160"/>
  <c r="Z101" i="160"/>
  <c r="AC100" i="160"/>
  <c r="AC99" i="160"/>
  <c r="AB97" i="160"/>
  <c r="AA97" i="160"/>
  <c r="Z97" i="160"/>
  <c r="AC96" i="160"/>
  <c r="AC95" i="160"/>
  <c r="AC94" i="160"/>
  <c r="AC93" i="160"/>
  <c r="AB91" i="160"/>
  <c r="AA91" i="160"/>
  <c r="Z91" i="160"/>
  <c r="AC90" i="160"/>
  <c r="AC89" i="160"/>
  <c r="AC87" i="160"/>
  <c r="AB79" i="160"/>
  <c r="AA79" i="160"/>
  <c r="Z79" i="160"/>
  <c r="AC78" i="160"/>
  <c r="AC77" i="160"/>
  <c r="AC75" i="160"/>
  <c r="AC79" i="160" s="1"/>
  <c r="AB73" i="160"/>
  <c r="AA73" i="160"/>
  <c r="Z73" i="160"/>
  <c r="AC72" i="160"/>
  <c r="AC71" i="160"/>
  <c r="AC70" i="160"/>
  <c r="AC69" i="160"/>
  <c r="AC68" i="160"/>
  <c r="AC65" i="160"/>
  <c r="AC61" i="160"/>
  <c r="AB59" i="160"/>
  <c r="AA59" i="160"/>
  <c r="Z59" i="160"/>
  <c r="AC58" i="160"/>
  <c r="AC57" i="160"/>
  <c r="AC56" i="160"/>
  <c r="AC55" i="160"/>
  <c r="AC54" i="160"/>
  <c r="AB52" i="160"/>
  <c r="AA52" i="160"/>
  <c r="Z52" i="160"/>
  <c r="AC51" i="160"/>
  <c r="AC50" i="160"/>
  <c r="AC49" i="160"/>
  <c r="AC41" i="160"/>
  <c r="AC39" i="160"/>
  <c r="AB37" i="160"/>
  <c r="AB42" i="160" s="1"/>
  <c r="AA37" i="160"/>
  <c r="AA42" i="160" s="1"/>
  <c r="Z37" i="160"/>
  <c r="Z42" i="160" s="1"/>
  <c r="AC36" i="160"/>
  <c r="AC35" i="160"/>
  <c r="AC34" i="160"/>
  <c r="AC33" i="160"/>
  <c r="AC32" i="160"/>
  <c r="AC31" i="160"/>
  <c r="AC30" i="160"/>
  <c r="AC29" i="160"/>
  <c r="AB21" i="160"/>
  <c r="AA21" i="160"/>
  <c r="Z21" i="160"/>
  <c r="AC20" i="160"/>
  <c r="AC19" i="160"/>
  <c r="AC18" i="160"/>
  <c r="AC17" i="160"/>
  <c r="AB15" i="160"/>
  <c r="AA15" i="160"/>
  <c r="Z15" i="160"/>
  <c r="AC14" i="160"/>
  <c r="AC13" i="160"/>
  <c r="AC12" i="160"/>
  <c r="AC11" i="160"/>
  <c r="AC10" i="160"/>
  <c r="AC9" i="160"/>
  <c r="AC8" i="160"/>
  <c r="AC7" i="160"/>
  <c r="AC112" i="161" l="1"/>
  <c r="Y62" i="160"/>
  <c r="J64" i="160"/>
  <c r="AD64" i="160"/>
  <c r="Z80" i="160"/>
  <c r="J63" i="160"/>
  <c r="AD63" i="160"/>
  <c r="N76" i="161"/>
  <c r="T76" i="161" s="1"/>
  <c r="S76" i="161"/>
  <c r="Y76" i="161" s="1"/>
  <c r="J62" i="160"/>
  <c r="J76" i="160"/>
  <c r="AD76" i="160"/>
  <c r="T62" i="160"/>
  <c r="T76" i="160"/>
  <c r="E76" i="161"/>
  <c r="J76" i="161" s="1"/>
  <c r="AC70" i="161"/>
  <c r="AC72" i="161"/>
  <c r="AA79" i="161"/>
  <c r="AC77" i="161"/>
  <c r="AA91" i="161"/>
  <c r="AA97" i="161"/>
  <c r="AA114" i="161"/>
  <c r="AC108" i="161"/>
  <c r="AC110" i="161"/>
  <c r="I62" i="161"/>
  <c r="N62" i="161"/>
  <c r="S62" i="161"/>
  <c r="X62" i="161"/>
  <c r="AB66" i="161"/>
  <c r="N63" i="161"/>
  <c r="S63" i="161"/>
  <c r="X63" i="161"/>
  <c r="AC63" i="161"/>
  <c r="I64" i="161"/>
  <c r="N64" i="161"/>
  <c r="AC64" i="161"/>
  <c r="AC96" i="161"/>
  <c r="AC94" i="161"/>
  <c r="AC97" i="160"/>
  <c r="AA102" i="160"/>
  <c r="AC90" i="161"/>
  <c r="AC87" i="161"/>
  <c r="Z73" i="161"/>
  <c r="AA66" i="161"/>
  <c r="AC66" i="160"/>
  <c r="AC62" i="161"/>
  <c r="AD62" i="161" s="1"/>
  <c r="AD62" i="160"/>
  <c r="AC61" i="161"/>
  <c r="Z66" i="161"/>
  <c r="X64" i="161"/>
  <c r="AD64" i="161" s="1"/>
  <c r="S64" i="161"/>
  <c r="I63" i="161"/>
  <c r="O63" i="161" s="1"/>
  <c r="E64" i="161"/>
  <c r="E63" i="161"/>
  <c r="J64" i="161"/>
  <c r="J63" i="161"/>
  <c r="Y63" i="160"/>
  <c r="Y64" i="160"/>
  <c r="T63" i="160"/>
  <c r="T64" i="160"/>
  <c r="O62" i="160"/>
  <c r="O63" i="160"/>
  <c r="O64" i="160"/>
  <c r="E62" i="161"/>
  <c r="AC10" i="161"/>
  <c r="AC12" i="161"/>
  <c r="AC14" i="161"/>
  <c r="AC99" i="161"/>
  <c r="AA101" i="161"/>
  <c r="AA59" i="161"/>
  <c r="AC55" i="161"/>
  <c r="AC49" i="161"/>
  <c r="AB37" i="161"/>
  <c r="AB42" i="161" s="1"/>
  <c r="AC37" i="160"/>
  <c r="Z37" i="161"/>
  <c r="Z21" i="161"/>
  <c r="AA15" i="161"/>
  <c r="AC8" i="161"/>
  <c r="AC114" i="160"/>
  <c r="AC73" i="160"/>
  <c r="AC59" i="160"/>
  <c r="AB80" i="160"/>
  <c r="AC15" i="160"/>
  <c r="Z114" i="161"/>
  <c r="AB114" i="161"/>
  <c r="AC109" i="161"/>
  <c r="AC111" i="161"/>
  <c r="AC113" i="161"/>
  <c r="AC101" i="160"/>
  <c r="Z101" i="161"/>
  <c r="AB101" i="161"/>
  <c r="Z102" i="160"/>
  <c r="AB102" i="160"/>
  <c r="AC93" i="161"/>
  <c r="AB97" i="161"/>
  <c r="AC95" i="161"/>
  <c r="AC91" i="160"/>
  <c r="Z91" i="161"/>
  <c r="AB91" i="161"/>
  <c r="Z79" i="161"/>
  <c r="AB79" i="161"/>
  <c r="AC78" i="161"/>
  <c r="AA73" i="161"/>
  <c r="AC69" i="161"/>
  <c r="AC71" i="161"/>
  <c r="AA80" i="160"/>
  <c r="Z59" i="161"/>
  <c r="AB59" i="161"/>
  <c r="AC56" i="161"/>
  <c r="AC58" i="161"/>
  <c r="AC52" i="160"/>
  <c r="AC50" i="161"/>
  <c r="AA52" i="161"/>
  <c r="Z52" i="161"/>
  <c r="AB52" i="161"/>
  <c r="AC39" i="161"/>
  <c r="AA37" i="161"/>
  <c r="AA42" i="161" s="1"/>
  <c r="AC30" i="161"/>
  <c r="AC31" i="161"/>
  <c r="AC32" i="161"/>
  <c r="AC33" i="161"/>
  <c r="AC34" i="161"/>
  <c r="AC35" i="161"/>
  <c r="AC36" i="161"/>
  <c r="AC21" i="160"/>
  <c r="AA21" i="161"/>
  <c r="AC18" i="161"/>
  <c r="AC20" i="161"/>
  <c r="AA22" i="160"/>
  <c r="Z22" i="160"/>
  <c r="AB22" i="160"/>
  <c r="AC7" i="161"/>
  <c r="AB15" i="161"/>
  <c r="AB22" i="161" s="1"/>
  <c r="AC9" i="161"/>
  <c r="AC11" i="161"/>
  <c r="AC13" i="161"/>
  <c r="AC106" i="161"/>
  <c r="AC89" i="161"/>
  <c r="Z97" i="161"/>
  <c r="AC100" i="161"/>
  <c r="AC51" i="161"/>
  <c r="AC54" i="161"/>
  <c r="AC65" i="161"/>
  <c r="AC68" i="161"/>
  <c r="AC75" i="161"/>
  <c r="AC29" i="161"/>
  <c r="AC41" i="161"/>
  <c r="Z42" i="161"/>
  <c r="Z15" i="161"/>
  <c r="Z22" i="161" s="1"/>
  <c r="AC17" i="161"/>
  <c r="AA22" i="161" l="1"/>
  <c r="J62" i="161"/>
  <c r="O76" i="161"/>
  <c r="Y63" i="161"/>
  <c r="Y62" i="161"/>
  <c r="O62" i="161"/>
  <c r="AA102" i="161"/>
  <c r="T62" i="161"/>
  <c r="Z102" i="161"/>
  <c r="O64" i="161"/>
  <c r="AD63" i="161"/>
  <c r="T63" i="161"/>
  <c r="AC102" i="160"/>
  <c r="Z117" i="160"/>
  <c r="AA117" i="160"/>
  <c r="AC66" i="161"/>
  <c r="Y64" i="161"/>
  <c r="T64" i="161"/>
  <c r="AA80" i="161"/>
  <c r="AC42" i="160"/>
  <c r="AC15" i="161"/>
  <c r="AC97" i="161"/>
  <c r="AB102" i="161"/>
  <c r="AC80" i="160"/>
  <c r="AB80" i="161"/>
  <c r="AB117" i="161" s="1"/>
  <c r="AC22" i="160"/>
  <c r="AB117" i="160"/>
  <c r="Z80" i="161"/>
  <c r="AA117" i="161"/>
  <c r="AC114" i="161"/>
  <c r="AC91" i="161"/>
  <c r="AC101" i="161"/>
  <c r="AC73" i="161"/>
  <c r="AC59" i="161"/>
  <c r="AC79" i="161"/>
  <c r="AC52" i="161"/>
  <c r="AC37" i="161"/>
  <c r="AC21" i="161"/>
  <c r="Z117" i="161" l="1"/>
  <c r="AC117" i="160"/>
  <c r="AC102" i="161"/>
  <c r="AC80" i="161"/>
  <c r="AC42" i="161"/>
  <c r="AC22" i="161"/>
  <c r="N34" i="263"/>
  <c r="AC117" i="161" l="1"/>
  <c r="L74" i="286"/>
  <c r="L72" i="286"/>
  <c r="L71" i="286"/>
  <c r="L39" i="286"/>
  <c r="L43" i="286" s="1"/>
  <c r="L70" i="286" s="1"/>
  <c r="L26" i="286"/>
  <c r="K74" i="286"/>
  <c r="K72" i="286"/>
  <c r="K71" i="286"/>
  <c r="K39" i="286"/>
  <c r="K43" i="286" s="1"/>
  <c r="K70" i="286" s="1"/>
  <c r="K26" i="286"/>
  <c r="J74" i="286"/>
  <c r="J71" i="286"/>
  <c r="J39" i="286"/>
  <c r="J43" i="286" s="1"/>
  <c r="J70" i="286" s="1"/>
  <c r="J26" i="286"/>
  <c r="I74" i="286"/>
  <c r="I72" i="286"/>
  <c r="I71" i="286"/>
  <c r="I39" i="286"/>
  <c r="I26" i="286"/>
  <c r="Q25" i="285"/>
  <c r="D25" i="285" s="1"/>
  <c r="Q24" i="285"/>
  <c r="Q23" i="285"/>
  <c r="Q22" i="285"/>
  <c r="Q21" i="285"/>
  <c r="Q18" i="285"/>
  <c r="D18" i="285" s="1"/>
  <c r="Q11" i="285"/>
  <c r="E117" i="273"/>
  <c r="M117" i="273"/>
  <c r="P117" i="273" s="1"/>
  <c r="K117" i="273"/>
  <c r="N117" i="273" s="1"/>
  <c r="M114" i="273"/>
  <c r="P114" i="273" s="1"/>
  <c r="K114" i="273"/>
  <c r="I114" i="273"/>
  <c r="G114" i="273"/>
  <c r="E114" i="273"/>
  <c r="I117" i="273"/>
  <c r="J79" i="196"/>
  <c r="H79" i="196"/>
  <c r="F79" i="196"/>
  <c r="D79" i="196"/>
  <c r="I57" i="196"/>
  <c r="I65" i="196" s="1"/>
  <c r="G57" i="196"/>
  <c r="G65" i="196" s="1"/>
  <c r="G42" i="196"/>
  <c r="G46" i="196" s="1"/>
  <c r="E124" i="196"/>
  <c r="E24" i="196"/>
  <c r="F24" i="196" s="1"/>
  <c r="E48" i="196"/>
  <c r="E50" i="196" s="1"/>
  <c r="E42" i="196"/>
  <c r="E46" i="196" s="1"/>
  <c r="F11" i="305"/>
  <c r="E11" i="305"/>
  <c r="D11" i="305"/>
  <c r="C11" i="305"/>
  <c r="B11" i="305"/>
  <c r="W30" i="261"/>
  <c r="U30" i="261"/>
  <c r="S30" i="261"/>
  <c r="Q30" i="261"/>
  <c r="O30" i="261"/>
  <c r="M30" i="261"/>
  <c r="K30" i="261"/>
  <c r="I30" i="261"/>
  <c r="G30" i="261"/>
  <c r="W25" i="261"/>
  <c r="U25" i="261"/>
  <c r="S25" i="261"/>
  <c r="Q25" i="261"/>
  <c r="O25" i="261"/>
  <c r="M25" i="261"/>
  <c r="K25" i="261"/>
  <c r="I25" i="261"/>
  <c r="G25" i="261"/>
  <c r="W19" i="261"/>
  <c r="U19" i="261"/>
  <c r="S19" i="261"/>
  <c r="Q19" i="261"/>
  <c r="O19" i="261"/>
  <c r="M19" i="261"/>
  <c r="K19" i="261"/>
  <c r="I19" i="261"/>
  <c r="G19" i="261"/>
  <c r="AA30" i="261"/>
  <c r="Y30" i="261"/>
  <c r="AA25" i="261"/>
  <c r="Y25" i="261"/>
  <c r="AA19" i="261"/>
  <c r="Y19" i="261"/>
  <c r="W39" i="308"/>
  <c r="U39" i="308"/>
  <c r="S39" i="308"/>
  <c r="Q39" i="308"/>
  <c r="O39" i="308"/>
  <c r="M39" i="308"/>
  <c r="K39" i="308"/>
  <c r="I39" i="308"/>
  <c r="G39" i="308"/>
  <c r="AC39" i="308"/>
  <c r="AA39" i="308"/>
  <c r="Y39" i="308"/>
  <c r="AB109" i="308"/>
  <c r="AC108" i="308"/>
  <c r="AC107" i="308"/>
  <c r="AC106" i="308"/>
  <c r="AC105" i="308"/>
  <c r="AC104" i="308"/>
  <c r="AC103" i="308"/>
  <c r="AC102" i="308"/>
  <c r="AC101" i="308"/>
  <c r="AC100" i="308"/>
  <c r="AC99" i="308"/>
  <c r="AC98" i="308"/>
  <c r="AB96" i="308"/>
  <c r="AC95" i="308"/>
  <c r="AC94" i="308"/>
  <c r="AC93" i="308"/>
  <c r="AC92" i="308"/>
  <c r="AC91" i="308"/>
  <c r="AC90" i="308"/>
  <c r="AC89" i="308"/>
  <c r="Z109" i="308"/>
  <c r="AA108" i="308"/>
  <c r="AA107" i="308"/>
  <c r="AA106" i="308"/>
  <c r="AA105" i="308"/>
  <c r="AA104" i="308"/>
  <c r="AA103" i="308"/>
  <c r="AA102" i="308"/>
  <c r="AA101" i="308"/>
  <c r="AA100" i="308"/>
  <c r="AA99" i="308"/>
  <c r="AA98" i="308"/>
  <c r="Z96" i="308"/>
  <c r="AA95" i="308"/>
  <c r="AA94" i="308"/>
  <c r="AA93" i="308"/>
  <c r="AA92" i="308"/>
  <c r="AA91" i="308"/>
  <c r="AA90" i="308"/>
  <c r="AA89" i="308"/>
  <c r="X109" i="308"/>
  <c r="Y108" i="308"/>
  <c r="Y107" i="308"/>
  <c r="Y106" i="308"/>
  <c r="Y105" i="308"/>
  <c r="Y104" i="308"/>
  <c r="Y103" i="308"/>
  <c r="Y102" i="308"/>
  <c r="Y101" i="308"/>
  <c r="Y100" i="308"/>
  <c r="Y99" i="308"/>
  <c r="Y98" i="308"/>
  <c r="X96" i="308"/>
  <c r="Y95" i="308"/>
  <c r="Y94" i="308"/>
  <c r="Y93" i="308"/>
  <c r="Y92" i="308"/>
  <c r="Y91" i="308"/>
  <c r="Y90" i="308"/>
  <c r="Y89" i="308"/>
  <c r="AB84" i="308"/>
  <c r="AC83" i="308"/>
  <c r="AC82" i="308"/>
  <c r="AC81" i="308"/>
  <c r="AC80" i="308"/>
  <c r="AB78" i="308"/>
  <c r="AC77" i="308"/>
  <c r="AC76" i="308"/>
  <c r="AC75" i="308"/>
  <c r="AC74" i="308"/>
  <c r="AC73" i="308"/>
  <c r="AC72" i="308"/>
  <c r="AB70" i="308"/>
  <c r="AC69" i="308"/>
  <c r="AC68" i="308"/>
  <c r="AC67" i="308"/>
  <c r="AC66" i="308"/>
  <c r="AC65" i="308"/>
  <c r="AC64" i="308"/>
  <c r="AC63" i="308"/>
  <c r="AC62" i="308"/>
  <c r="AC61" i="308"/>
  <c r="AC60" i="308"/>
  <c r="Z84" i="308"/>
  <c r="AA83" i="308"/>
  <c r="AA82" i="308"/>
  <c r="AA81" i="308"/>
  <c r="AA80" i="308"/>
  <c r="Z78" i="308"/>
  <c r="AA77" i="308"/>
  <c r="AA76" i="308"/>
  <c r="AA75" i="308"/>
  <c r="AA74" i="308"/>
  <c r="AA73" i="308"/>
  <c r="AA72" i="308"/>
  <c r="Z70" i="308"/>
  <c r="AA69" i="308"/>
  <c r="AA68" i="308"/>
  <c r="AA67" i="308"/>
  <c r="AA66" i="308"/>
  <c r="AA65" i="308"/>
  <c r="AA64" i="308"/>
  <c r="AA63" i="308"/>
  <c r="AA62" i="308"/>
  <c r="AA61" i="308"/>
  <c r="AA60" i="308"/>
  <c r="X84" i="308"/>
  <c r="Y83" i="308"/>
  <c r="Y82" i="308"/>
  <c r="Y81" i="308"/>
  <c r="Y80" i="308"/>
  <c r="X78" i="308"/>
  <c r="Y77" i="308"/>
  <c r="Y76" i="308"/>
  <c r="Y75" i="308"/>
  <c r="Y74" i="308"/>
  <c r="Y73" i="308"/>
  <c r="Y72" i="308"/>
  <c r="X70" i="308"/>
  <c r="Y69" i="308"/>
  <c r="Y68" i="308"/>
  <c r="Y67" i="308"/>
  <c r="Y66" i="308"/>
  <c r="Y65" i="308"/>
  <c r="Y64" i="308"/>
  <c r="Y63" i="308"/>
  <c r="Y62" i="308"/>
  <c r="Y61" i="308"/>
  <c r="Y60" i="308"/>
  <c r="AB55" i="308"/>
  <c r="AC54" i="308"/>
  <c r="AC53" i="308"/>
  <c r="AB51" i="308"/>
  <c r="AC50" i="308"/>
  <c r="AC49" i="308"/>
  <c r="AC48" i="308"/>
  <c r="AB46" i="308"/>
  <c r="AC45" i="308"/>
  <c r="AC44" i="308"/>
  <c r="AB42" i="308"/>
  <c r="AC41" i="308"/>
  <c r="AC40" i="308"/>
  <c r="AC38" i="308"/>
  <c r="AC37" i="308"/>
  <c r="AB35" i="308"/>
  <c r="AC34" i="308"/>
  <c r="AC33" i="308"/>
  <c r="AB87" i="308"/>
  <c r="Z55" i="308"/>
  <c r="AA54" i="308"/>
  <c r="AA53" i="308"/>
  <c r="Z51" i="308"/>
  <c r="AA50" i="308"/>
  <c r="AA49" i="308"/>
  <c r="AA48" i="308"/>
  <c r="Z46" i="308"/>
  <c r="AA45" i="308"/>
  <c r="AA44" i="308"/>
  <c r="Z42" i="308"/>
  <c r="AA41" i="308"/>
  <c r="AA40" i="308"/>
  <c r="AA38" i="308"/>
  <c r="AA37" i="308"/>
  <c r="Z35" i="308"/>
  <c r="AA34" i="308"/>
  <c r="AA33" i="308"/>
  <c r="Z87" i="308"/>
  <c r="X55" i="308"/>
  <c r="Y54" i="308"/>
  <c r="Y53" i="308"/>
  <c r="X51" i="308"/>
  <c r="Y50" i="308"/>
  <c r="Y49" i="308"/>
  <c r="Y48" i="308"/>
  <c r="X46" i="308"/>
  <c r="Y45" i="308"/>
  <c r="Y44" i="308"/>
  <c r="X42" i="308"/>
  <c r="Y41" i="308"/>
  <c r="Y40" i="308"/>
  <c r="Y38" i="308"/>
  <c r="Y37" i="308"/>
  <c r="X35" i="308"/>
  <c r="Y34" i="308"/>
  <c r="Y33" i="308"/>
  <c r="X87" i="308"/>
  <c r="AB28" i="308"/>
  <c r="AC27" i="308"/>
  <c r="AC26" i="308"/>
  <c r="AC25" i="308"/>
  <c r="AC24" i="308"/>
  <c r="AB22" i="308"/>
  <c r="AC21" i="308"/>
  <c r="AC20" i="308"/>
  <c r="AB18" i="308"/>
  <c r="AC17" i="308"/>
  <c r="AC16" i="308"/>
  <c r="AC15" i="308"/>
  <c r="AC14" i="308"/>
  <c r="AC13" i="308"/>
  <c r="AC12" i="308"/>
  <c r="AC11" i="308"/>
  <c r="AB9" i="308"/>
  <c r="AC8" i="308"/>
  <c r="AC7" i="308"/>
  <c r="AC6" i="308"/>
  <c r="Z28" i="308"/>
  <c r="AA27" i="308"/>
  <c r="AA26" i="308"/>
  <c r="AA25" i="308"/>
  <c r="AA24" i="308"/>
  <c r="Z22" i="308"/>
  <c r="AA21" i="308"/>
  <c r="AA20" i="308"/>
  <c r="Z18" i="308"/>
  <c r="AA17" i="308"/>
  <c r="AA16" i="308"/>
  <c r="AA15" i="308"/>
  <c r="AA14" i="308"/>
  <c r="AA13" i="308"/>
  <c r="AA12" i="308"/>
  <c r="AA11" i="308"/>
  <c r="Z9" i="308"/>
  <c r="AA8" i="308"/>
  <c r="AA7" i="308"/>
  <c r="AA6" i="308"/>
  <c r="X28" i="308"/>
  <c r="Y27" i="308"/>
  <c r="Y26" i="308"/>
  <c r="Y25" i="308"/>
  <c r="Y24" i="308"/>
  <c r="X22" i="308"/>
  <c r="Y21" i="308"/>
  <c r="Y20" i="308"/>
  <c r="X18" i="308"/>
  <c r="Y17" i="308"/>
  <c r="Y16" i="308"/>
  <c r="Y15" i="308"/>
  <c r="Y14" i="308"/>
  <c r="Y13" i="308"/>
  <c r="Y12" i="308"/>
  <c r="Y11" i="308"/>
  <c r="X9" i="308"/>
  <c r="Y8" i="308"/>
  <c r="Y7" i="308"/>
  <c r="Y6" i="308"/>
  <c r="K102" i="187"/>
  <c r="K103" i="187" s="1"/>
  <c r="K89" i="187"/>
  <c r="K77" i="187"/>
  <c r="K71" i="187"/>
  <c r="K63" i="187"/>
  <c r="K51" i="187"/>
  <c r="K47" i="187"/>
  <c r="K43" i="187"/>
  <c r="K32" i="187"/>
  <c r="K25" i="187"/>
  <c r="K21" i="187"/>
  <c r="K17" i="187"/>
  <c r="K9" i="187"/>
  <c r="K46" i="29"/>
  <c r="I46" i="29"/>
  <c r="G46" i="29"/>
  <c r="E46" i="29"/>
  <c r="K45" i="29"/>
  <c r="I45" i="29"/>
  <c r="G45" i="29"/>
  <c r="E45" i="29"/>
  <c r="K35" i="29"/>
  <c r="I35" i="29"/>
  <c r="G35" i="29"/>
  <c r="E35" i="29"/>
  <c r="K33" i="29"/>
  <c r="G33" i="29"/>
  <c r="I33" i="29"/>
  <c r="E33" i="29"/>
  <c r="J49" i="29"/>
  <c r="H49" i="29"/>
  <c r="H50" i="29" s="1"/>
  <c r="F49" i="29"/>
  <c r="F50" i="29" s="1"/>
  <c r="K25" i="29"/>
  <c r="G25" i="29"/>
  <c r="I25" i="29"/>
  <c r="E25" i="29"/>
  <c r="K15" i="29"/>
  <c r="I15" i="29"/>
  <c r="G15" i="29"/>
  <c r="E15" i="29"/>
  <c r="X133" i="274"/>
  <c r="AC120" i="274"/>
  <c r="AA120" i="274"/>
  <c r="Y120" i="274"/>
  <c r="M120" i="274"/>
  <c r="U120" i="274" s="1"/>
  <c r="K120" i="274"/>
  <c r="S120" i="274" s="1"/>
  <c r="I120" i="274"/>
  <c r="Q120" i="274" s="1"/>
  <c r="G120" i="274"/>
  <c r="O120" i="274" s="1"/>
  <c r="W120" i="274" s="1"/>
  <c r="AB137" i="274"/>
  <c r="AC136" i="274"/>
  <c r="AC135" i="274"/>
  <c r="AC134" i="274"/>
  <c r="AB130" i="274"/>
  <c r="AC129" i="274"/>
  <c r="AC128" i="274"/>
  <c r="AC127" i="274"/>
  <c r="AC126" i="274"/>
  <c r="AC125" i="274"/>
  <c r="AC124" i="274"/>
  <c r="AC123" i="274"/>
  <c r="AC122" i="274"/>
  <c r="AC121" i="274"/>
  <c r="AC119" i="274"/>
  <c r="AC118" i="274"/>
  <c r="AC117" i="274"/>
  <c r="AB115" i="274"/>
  <c r="AC114" i="274"/>
  <c r="AC113" i="274"/>
  <c r="AC112" i="274"/>
  <c r="AC111" i="274"/>
  <c r="AC110" i="274"/>
  <c r="AC109" i="274"/>
  <c r="Z137" i="274"/>
  <c r="AA136" i="274"/>
  <c r="AA135" i="274"/>
  <c r="AA134" i="274"/>
  <c r="Z130" i="274"/>
  <c r="AA129" i="274"/>
  <c r="AA128" i="274"/>
  <c r="AA127" i="274"/>
  <c r="AA126" i="274"/>
  <c r="AA125" i="274"/>
  <c r="AA124" i="274"/>
  <c r="AA123" i="274"/>
  <c r="AA122" i="274"/>
  <c r="AA121" i="274"/>
  <c r="AA119" i="274"/>
  <c r="AA118" i="274"/>
  <c r="AA117" i="274"/>
  <c r="Z115" i="274"/>
  <c r="AA114" i="274"/>
  <c r="AA113" i="274"/>
  <c r="AA112" i="274"/>
  <c r="AA111" i="274"/>
  <c r="AA110" i="274"/>
  <c r="AA109" i="274"/>
  <c r="X137" i="274"/>
  <c r="Y136" i="274"/>
  <c r="Y135" i="274"/>
  <c r="Y134" i="274"/>
  <c r="Y133" i="274"/>
  <c r="X130" i="274"/>
  <c r="Y129" i="274"/>
  <c r="Y128" i="274"/>
  <c r="Y127" i="274"/>
  <c r="Y126" i="274"/>
  <c r="Y125" i="274"/>
  <c r="Y124" i="274"/>
  <c r="Y123" i="274"/>
  <c r="Y122" i="274"/>
  <c r="Y121" i="274"/>
  <c r="Y119" i="274"/>
  <c r="Y118" i="274"/>
  <c r="Y117" i="274"/>
  <c r="X115" i="274"/>
  <c r="Y114" i="274"/>
  <c r="Y113" i="274"/>
  <c r="Y112" i="274"/>
  <c r="Y111" i="274"/>
  <c r="Y110" i="274"/>
  <c r="Y109" i="274"/>
  <c r="AB104" i="274"/>
  <c r="AC103" i="274"/>
  <c r="AC102" i="274"/>
  <c r="AC101" i="274"/>
  <c r="AC100" i="274"/>
  <c r="AC99" i="274"/>
  <c r="AB97" i="274"/>
  <c r="AC96" i="274"/>
  <c r="AC95" i="274"/>
  <c r="AC94" i="274"/>
  <c r="AC93" i="274"/>
  <c r="AC92" i="274"/>
  <c r="AC91" i="274"/>
  <c r="AC90" i="274"/>
  <c r="AB88" i="274"/>
  <c r="AC87" i="274"/>
  <c r="AC86" i="274"/>
  <c r="AC85" i="274"/>
  <c r="AC79" i="274"/>
  <c r="AC78" i="274"/>
  <c r="AC77" i="274"/>
  <c r="AC76" i="274"/>
  <c r="AC75" i="274"/>
  <c r="AC74" i="274"/>
  <c r="AC73" i="274"/>
  <c r="AC72" i="274"/>
  <c r="AC71" i="274"/>
  <c r="AC70" i="274"/>
  <c r="Z104" i="274"/>
  <c r="AA103" i="274"/>
  <c r="AA102" i="274"/>
  <c r="AA101" i="274"/>
  <c r="AA100" i="274"/>
  <c r="AA99" i="274"/>
  <c r="Z97" i="274"/>
  <c r="AA96" i="274"/>
  <c r="AA95" i="274"/>
  <c r="AA94" i="274"/>
  <c r="AA93" i="274"/>
  <c r="AA92" i="274"/>
  <c r="AA91" i="274"/>
  <c r="AA90" i="274"/>
  <c r="Z88" i="274"/>
  <c r="AA87" i="274"/>
  <c r="AA86" i="274"/>
  <c r="AA85" i="274"/>
  <c r="AA79" i="274"/>
  <c r="AA78" i="274"/>
  <c r="AA77" i="274"/>
  <c r="AA76" i="274"/>
  <c r="AA75" i="274"/>
  <c r="AA74" i="274"/>
  <c r="AA73" i="274"/>
  <c r="AA72" i="274"/>
  <c r="AA71" i="274"/>
  <c r="AA70" i="274"/>
  <c r="X104" i="274"/>
  <c r="Y103" i="274"/>
  <c r="Y102" i="274"/>
  <c r="Y101" i="274"/>
  <c r="Y100" i="274"/>
  <c r="Y99" i="274"/>
  <c r="X97" i="274"/>
  <c r="Y96" i="274"/>
  <c r="Y95" i="274"/>
  <c r="Y94" i="274"/>
  <c r="Y93" i="274"/>
  <c r="Y92" i="274"/>
  <c r="Y91" i="274"/>
  <c r="Y90" i="274"/>
  <c r="X88" i="274"/>
  <c r="Y87" i="274"/>
  <c r="Y86" i="274"/>
  <c r="Y85" i="274"/>
  <c r="Y79" i="274"/>
  <c r="Y78" i="274"/>
  <c r="Y77" i="274"/>
  <c r="Y76" i="274"/>
  <c r="Y75" i="274"/>
  <c r="Y74" i="274"/>
  <c r="Y73" i="274"/>
  <c r="Y72" i="274"/>
  <c r="Y71" i="274"/>
  <c r="Y70" i="274"/>
  <c r="AC64" i="274"/>
  <c r="AC59" i="274"/>
  <c r="AB57" i="274"/>
  <c r="AC56" i="274"/>
  <c r="AC55" i="274"/>
  <c r="AC54" i="274"/>
  <c r="AB52" i="274"/>
  <c r="AC51" i="274"/>
  <c r="AC50" i="274"/>
  <c r="AC47" i="274"/>
  <c r="AC45" i="274"/>
  <c r="AC44" i="274"/>
  <c r="AB42" i="274"/>
  <c r="AC41" i="274"/>
  <c r="AC40" i="274"/>
  <c r="AC39" i="274"/>
  <c r="AA64" i="274"/>
  <c r="AA59" i="274"/>
  <c r="Z57" i="274"/>
  <c r="AA56" i="274"/>
  <c r="AA55" i="274"/>
  <c r="AA54" i="274"/>
  <c r="Z52" i="274"/>
  <c r="AA51" i="274"/>
  <c r="AA50" i="274"/>
  <c r="AA47" i="274"/>
  <c r="AA45" i="274"/>
  <c r="AA44" i="274"/>
  <c r="Z42" i="274"/>
  <c r="AA41" i="274"/>
  <c r="AA40" i="274"/>
  <c r="AA39" i="274"/>
  <c r="AE65" i="274"/>
  <c r="Y64" i="274"/>
  <c r="Y59" i="274"/>
  <c r="X57" i="274"/>
  <c r="Y56" i="274"/>
  <c r="Y55" i="274"/>
  <c r="Y54" i="274"/>
  <c r="X52" i="274"/>
  <c r="Y51" i="274"/>
  <c r="Y50" i="274"/>
  <c r="Y47" i="274"/>
  <c r="Y45" i="274"/>
  <c r="Y44" i="274"/>
  <c r="X42" i="274"/>
  <c r="Y41" i="274"/>
  <c r="Y40" i="274"/>
  <c r="Y39" i="274"/>
  <c r="AB34" i="274"/>
  <c r="AC33" i="274"/>
  <c r="AC32" i="274"/>
  <c r="AC31" i="274"/>
  <c r="AC30" i="274"/>
  <c r="AB28" i="274"/>
  <c r="AC27" i="274"/>
  <c r="AC26" i="274"/>
  <c r="AC25" i="274"/>
  <c r="AC24" i="274"/>
  <c r="AB22" i="274"/>
  <c r="AC21" i="274"/>
  <c r="AC20" i="274"/>
  <c r="AC19" i="274"/>
  <c r="AC18" i="274"/>
  <c r="AC17" i="274"/>
  <c r="AC16" i="274"/>
  <c r="AC15" i="274"/>
  <c r="AC12" i="274"/>
  <c r="AC11" i="274"/>
  <c r="AC10" i="274"/>
  <c r="AC9" i="274"/>
  <c r="AC8" i="274"/>
  <c r="AC7" i="274"/>
  <c r="AB13" i="274"/>
  <c r="Z34" i="274"/>
  <c r="AA33" i="274"/>
  <c r="AA32" i="274"/>
  <c r="AA31" i="274"/>
  <c r="AA30" i="274"/>
  <c r="Z28" i="274"/>
  <c r="AA27" i="274"/>
  <c r="AA26" i="274"/>
  <c r="AA25" i="274"/>
  <c r="AA24" i="274"/>
  <c r="Z22" i="274"/>
  <c r="AA21" i="274"/>
  <c r="AA20" i="274"/>
  <c r="AA19" i="274"/>
  <c r="AA18" i="274"/>
  <c r="AA17" i="274"/>
  <c r="AA16" i="274"/>
  <c r="AA15" i="274"/>
  <c r="AA12" i="274"/>
  <c r="AA11" i="274"/>
  <c r="AA10" i="274"/>
  <c r="AA9" i="274"/>
  <c r="AA8" i="274"/>
  <c r="AA7" i="274"/>
  <c r="Z13" i="274"/>
  <c r="X34" i="274"/>
  <c r="Y33" i="274"/>
  <c r="Y32" i="274"/>
  <c r="Y31" i="274"/>
  <c r="Y30" i="274"/>
  <c r="X28" i="274"/>
  <c r="Y27" i="274"/>
  <c r="Y26" i="274"/>
  <c r="Y25" i="274"/>
  <c r="Y24" i="274"/>
  <c r="X22" i="274"/>
  <c r="Y21" i="274"/>
  <c r="Y20" i="274"/>
  <c r="Y19" i="274"/>
  <c r="Y18" i="274"/>
  <c r="Y17" i="274"/>
  <c r="Y16" i="274"/>
  <c r="Y15" i="274"/>
  <c r="Y12" i="274"/>
  <c r="Y11" i="274"/>
  <c r="Y10" i="274"/>
  <c r="Y9" i="274"/>
  <c r="Y8" i="274"/>
  <c r="Y7" i="274"/>
  <c r="G128" i="159"/>
  <c r="E124" i="159"/>
  <c r="D112" i="159"/>
  <c r="J112" i="159"/>
  <c r="J111" i="159"/>
  <c r="H112" i="159"/>
  <c r="F112" i="159"/>
  <c r="E42" i="159"/>
  <c r="E45" i="159" s="1"/>
  <c r="F80" i="159"/>
  <c r="N65" i="273"/>
  <c r="L65" i="273"/>
  <c r="J65" i="273"/>
  <c r="H65" i="273"/>
  <c r="F65" i="273"/>
  <c r="W12" i="181"/>
  <c r="W11" i="181"/>
  <c r="W10" i="181"/>
  <c r="W9" i="181"/>
  <c r="W8" i="181"/>
  <c r="W7" i="181"/>
  <c r="W6" i="181"/>
  <c r="W5" i="181"/>
  <c r="V12" i="181"/>
  <c r="V11" i="181"/>
  <c r="V10" i="181"/>
  <c r="V9" i="181"/>
  <c r="V8" i="181"/>
  <c r="V7" i="181"/>
  <c r="V6" i="181"/>
  <c r="V5" i="181"/>
  <c r="U12" i="181"/>
  <c r="U11" i="181"/>
  <c r="U10" i="181"/>
  <c r="U9" i="181"/>
  <c r="U8" i="181"/>
  <c r="U7" i="181"/>
  <c r="U6" i="181"/>
  <c r="B24" i="181"/>
  <c r="C24" i="181"/>
  <c r="V19" i="184"/>
  <c r="W114" i="184"/>
  <c r="V114" i="184"/>
  <c r="U114" i="184"/>
  <c r="W113" i="184"/>
  <c r="V113" i="184"/>
  <c r="U113" i="184"/>
  <c r="W112" i="184"/>
  <c r="V112" i="184"/>
  <c r="U112" i="184"/>
  <c r="W111" i="184"/>
  <c r="V111" i="184"/>
  <c r="U111" i="184"/>
  <c r="W110" i="184"/>
  <c r="V110" i="184"/>
  <c r="U110" i="184"/>
  <c r="W109" i="184"/>
  <c r="V109" i="184"/>
  <c r="U109" i="184"/>
  <c r="W108" i="184"/>
  <c r="W115" i="184" s="1"/>
  <c r="V108" i="184"/>
  <c r="U108" i="184"/>
  <c r="U115" i="184" s="1"/>
  <c r="W101" i="184"/>
  <c r="V101" i="184"/>
  <c r="U101" i="184"/>
  <c r="W100" i="184"/>
  <c r="V100" i="184"/>
  <c r="U100" i="184"/>
  <c r="W97" i="184"/>
  <c r="V97" i="184"/>
  <c r="U97" i="184"/>
  <c r="W96" i="184"/>
  <c r="V96" i="184"/>
  <c r="U96" i="184"/>
  <c r="W95" i="184"/>
  <c r="V95" i="184"/>
  <c r="U95" i="184"/>
  <c r="W94" i="184"/>
  <c r="V94" i="184"/>
  <c r="U94" i="184"/>
  <c r="W93" i="184"/>
  <c r="V93" i="184"/>
  <c r="U93" i="184"/>
  <c r="W90" i="184"/>
  <c r="V90" i="184"/>
  <c r="U90" i="184"/>
  <c r="W89" i="184"/>
  <c r="V89" i="184"/>
  <c r="U89" i="184"/>
  <c r="W87" i="184"/>
  <c r="V87" i="184"/>
  <c r="U87" i="184"/>
  <c r="W78" i="184"/>
  <c r="V78" i="184"/>
  <c r="U78" i="184"/>
  <c r="W77" i="184"/>
  <c r="V77" i="184"/>
  <c r="U77" i="184"/>
  <c r="W76" i="184"/>
  <c r="V76" i="184"/>
  <c r="U76" i="184"/>
  <c r="W73" i="184"/>
  <c r="V73" i="184"/>
  <c r="U73" i="184"/>
  <c r="W72" i="184"/>
  <c r="V72" i="184"/>
  <c r="U72" i="184"/>
  <c r="W71" i="184"/>
  <c r="V71" i="184"/>
  <c r="U71" i="184"/>
  <c r="W69" i="184"/>
  <c r="V69" i="184"/>
  <c r="U69" i="184"/>
  <c r="W63" i="184"/>
  <c r="V63" i="184"/>
  <c r="U63" i="184"/>
  <c r="W62" i="184"/>
  <c r="V62" i="184"/>
  <c r="U62" i="184"/>
  <c r="W59" i="184"/>
  <c r="V59" i="184"/>
  <c r="U59" i="184"/>
  <c r="W58" i="184"/>
  <c r="V58" i="184"/>
  <c r="U58" i="184"/>
  <c r="W57" i="184"/>
  <c r="V57" i="184"/>
  <c r="U57" i="184"/>
  <c r="W56" i="184"/>
  <c r="V56" i="184"/>
  <c r="U56" i="184"/>
  <c r="W55" i="184"/>
  <c r="V55" i="184"/>
  <c r="U55" i="184"/>
  <c r="W54" i="184"/>
  <c r="V54" i="184"/>
  <c r="U54" i="184"/>
  <c r="W51" i="184"/>
  <c r="V51" i="184"/>
  <c r="U51" i="184"/>
  <c r="W50" i="184"/>
  <c r="V50" i="184"/>
  <c r="U50" i="184"/>
  <c r="W42" i="184"/>
  <c r="V42" i="184"/>
  <c r="U42" i="184"/>
  <c r="W40" i="184"/>
  <c r="V40" i="184"/>
  <c r="U40" i="184"/>
  <c r="W37" i="184"/>
  <c r="V37" i="184"/>
  <c r="U37" i="184"/>
  <c r="W36" i="184"/>
  <c r="V36" i="184"/>
  <c r="U36" i="184"/>
  <c r="W35" i="184"/>
  <c r="V35" i="184"/>
  <c r="U35" i="184"/>
  <c r="W34" i="184"/>
  <c r="V34" i="184"/>
  <c r="U34" i="184"/>
  <c r="W33" i="184"/>
  <c r="V33" i="184"/>
  <c r="U33" i="184"/>
  <c r="W32" i="184"/>
  <c r="V32" i="184"/>
  <c r="U32" i="184"/>
  <c r="W31" i="184"/>
  <c r="V31" i="184"/>
  <c r="U31" i="184"/>
  <c r="W30" i="184"/>
  <c r="V30" i="184"/>
  <c r="U30" i="184"/>
  <c r="W21" i="184"/>
  <c r="V21" i="184"/>
  <c r="U21" i="184"/>
  <c r="W20" i="184"/>
  <c r="V20" i="184"/>
  <c r="U20" i="184"/>
  <c r="W19" i="184"/>
  <c r="U19" i="184"/>
  <c r="W18" i="184"/>
  <c r="V18" i="184"/>
  <c r="U18" i="184"/>
  <c r="W15" i="184"/>
  <c r="V15" i="184"/>
  <c r="U15" i="184"/>
  <c r="W14" i="184"/>
  <c r="V14" i="184"/>
  <c r="U14" i="184"/>
  <c r="W12" i="184"/>
  <c r="V12" i="184"/>
  <c r="U12" i="184"/>
  <c r="W11" i="184"/>
  <c r="V11" i="184"/>
  <c r="U11" i="184"/>
  <c r="W10" i="184"/>
  <c r="V10" i="184"/>
  <c r="U10" i="184"/>
  <c r="W9" i="184"/>
  <c r="V9" i="184"/>
  <c r="U9" i="184"/>
  <c r="W8" i="184"/>
  <c r="V8" i="184"/>
  <c r="U8" i="184"/>
  <c r="W7" i="184"/>
  <c r="V7" i="184"/>
  <c r="U7" i="184"/>
  <c r="R114" i="184"/>
  <c r="Q114" i="184"/>
  <c r="P114" i="184"/>
  <c r="R113" i="184"/>
  <c r="Q113" i="184"/>
  <c r="P113" i="184"/>
  <c r="R112" i="184"/>
  <c r="Q112" i="184"/>
  <c r="P112" i="184"/>
  <c r="R111" i="184"/>
  <c r="Q111" i="184"/>
  <c r="P111" i="184"/>
  <c r="R110" i="184"/>
  <c r="Q110" i="184"/>
  <c r="P110" i="184"/>
  <c r="R109" i="184"/>
  <c r="Q109" i="184"/>
  <c r="P109" i="184"/>
  <c r="R108" i="184"/>
  <c r="Q108" i="184"/>
  <c r="Q115" i="184" s="1"/>
  <c r="P108" i="184"/>
  <c r="R101" i="184"/>
  <c r="Q101" i="184"/>
  <c r="P101" i="184"/>
  <c r="R100" i="184"/>
  <c r="Q100" i="184"/>
  <c r="P100" i="184"/>
  <c r="R97" i="184"/>
  <c r="Q97" i="184"/>
  <c r="P97" i="184"/>
  <c r="R96" i="184"/>
  <c r="Q96" i="184"/>
  <c r="P96" i="184"/>
  <c r="R95" i="184"/>
  <c r="Q95" i="184"/>
  <c r="P95" i="184"/>
  <c r="R94" i="184"/>
  <c r="Q94" i="184"/>
  <c r="P94" i="184"/>
  <c r="R93" i="184"/>
  <c r="Q93" i="184"/>
  <c r="P93" i="184"/>
  <c r="R90" i="184"/>
  <c r="Q90" i="184"/>
  <c r="P90" i="184"/>
  <c r="R89" i="184"/>
  <c r="Q89" i="184"/>
  <c r="P89" i="184"/>
  <c r="R87" i="184"/>
  <c r="Q87" i="184"/>
  <c r="P87" i="184"/>
  <c r="R78" i="184"/>
  <c r="Q78" i="184"/>
  <c r="P78" i="184"/>
  <c r="R77" i="184"/>
  <c r="Q77" i="184"/>
  <c r="P77" i="184"/>
  <c r="R76" i="184"/>
  <c r="Q76" i="184"/>
  <c r="P76" i="184"/>
  <c r="R73" i="184"/>
  <c r="Q73" i="184"/>
  <c r="P73" i="184"/>
  <c r="R72" i="184"/>
  <c r="Q72" i="184"/>
  <c r="P72" i="184"/>
  <c r="R71" i="184"/>
  <c r="Q71" i="184"/>
  <c r="P71" i="184"/>
  <c r="R69" i="184"/>
  <c r="Q69" i="184"/>
  <c r="P69" i="184"/>
  <c r="R63" i="184"/>
  <c r="Q63" i="184"/>
  <c r="P63" i="184"/>
  <c r="R62" i="184"/>
  <c r="Q62" i="184"/>
  <c r="P62" i="184"/>
  <c r="R59" i="184"/>
  <c r="Q59" i="184"/>
  <c r="P59" i="184"/>
  <c r="R58" i="184"/>
  <c r="Q58" i="184"/>
  <c r="P58" i="184"/>
  <c r="R57" i="184"/>
  <c r="Q57" i="184"/>
  <c r="P57" i="184"/>
  <c r="R56" i="184"/>
  <c r="Q56" i="184"/>
  <c r="P56" i="184"/>
  <c r="R55" i="184"/>
  <c r="Q55" i="184"/>
  <c r="P55" i="184"/>
  <c r="R54" i="184"/>
  <c r="Q54" i="184"/>
  <c r="P54" i="184"/>
  <c r="R51" i="184"/>
  <c r="Q51" i="184"/>
  <c r="P51" i="184"/>
  <c r="R50" i="184"/>
  <c r="Q50" i="184"/>
  <c r="P50" i="184"/>
  <c r="R42" i="184"/>
  <c r="Q42" i="184"/>
  <c r="P42" i="184"/>
  <c r="R40" i="184"/>
  <c r="Q40" i="184"/>
  <c r="P40" i="184"/>
  <c r="R37" i="184"/>
  <c r="Q37" i="184"/>
  <c r="P37" i="184"/>
  <c r="R36" i="184"/>
  <c r="Q36" i="184"/>
  <c r="P36" i="184"/>
  <c r="R35" i="184"/>
  <c r="Q35" i="184"/>
  <c r="P35" i="184"/>
  <c r="R34" i="184"/>
  <c r="Q34" i="184"/>
  <c r="P34" i="184"/>
  <c r="R33" i="184"/>
  <c r="Q33" i="184"/>
  <c r="P33" i="184"/>
  <c r="R32" i="184"/>
  <c r="Q32" i="184"/>
  <c r="P32" i="184"/>
  <c r="R31" i="184"/>
  <c r="Q31" i="184"/>
  <c r="P31" i="184"/>
  <c r="R30" i="184"/>
  <c r="Q30" i="184"/>
  <c r="P30" i="184"/>
  <c r="R21" i="184"/>
  <c r="Q21" i="184"/>
  <c r="P21" i="184"/>
  <c r="R20" i="184"/>
  <c r="Q20" i="184"/>
  <c r="P20" i="184"/>
  <c r="R19" i="184"/>
  <c r="Q19" i="184"/>
  <c r="P19" i="184"/>
  <c r="R18" i="184"/>
  <c r="Q18" i="184"/>
  <c r="P18" i="184"/>
  <c r="R15" i="184"/>
  <c r="Q15" i="184"/>
  <c r="P15" i="184"/>
  <c r="R14" i="184"/>
  <c r="Q14" i="184"/>
  <c r="P14" i="184"/>
  <c r="R12" i="184"/>
  <c r="Q12" i="184"/>
  <c r="P12" i="184"/>
  <c r="R11" i="184"/>
  <c r="Q11" i="184"/>
  <c r="P11" i="184"/>
  <c r="R10" i="184"/>
  <c r="Q10" i="184"/>
  <c r="P10" i="184"/>
  <c r="R9" i="184"/>
  <c r="Q9" i="184"/>
  <c r="P9" i="184"/>
  <c r="R8" i="184"/>
  <c r="Q8" i="184"/>
  <c r="P8" i="184"/>
  <c r="R7" i="184"/>
  <c r="Q7" i="184"/>
  <c r="P7" i="184"/>
  <c r="X114" i="183"/>
  <c r="AD114" i="183" s="1"/>
  <c r="S114" i="183"/>
  <c r="Y114" i="183" s="1"/>
  <c r="X113" i="183"/>
  <c r="AD113" i="183" s="1"/>
  <c r="S113" i="183"/>
  <c r="X112" i="183"/>
  <c r="AD112" i="183" s="1"/>
  <c r="S112" i="183"/>
  <c r="X111" i="183"/>
  <c r="AD111" i="183" s="1"/>
  <c r="S111" i="183"/>
  <c r="X110" i="183"/>
  <c r="AD110" i="183" s="1"/>
  <c r="S110" i="183"/>
  <c r="X109" i="183"/>
  <c r="AD109" i="183" s="1"/>
  <c r="S109" i="183"/>
  <c r="Y109" i="183" s="1"/>
  <c r="X108" i="183"/>
  <c r="S108" i="183"/>
  <c r="W102" i="183"/>
  <c r="V102" i="183"/>
  <c r="U102" i="183"/>
  <c r="R102" i="183"/>
  <c r="Q102" i="183"/>
  <c r="P102" i="183"/>
  <c r="X101" i="183"/>
  <c r="S101" i="183"/>
  <c r="X100" i="183"/>
  <c r="AD100" i="183" s="1"/>
  <c r="S100" i="183"/>
  <c r="Y100" i="183" s="1"/>
  <c r="W98" i="183"/>
  <c r="V98" i="183"/>
  <c r="U98" i="183"/>
  <c r="R98" i="183"/>
  <c r="Q98" i="183"/>
  <c r="P98" i="183"/>
  <c r="X97" i="183"/>
  <c r="AD97" i="183" s="1"/>
  <c r="S97" i="183"/>
  <c r="X96" i="183"/>
  <c r="AD96" i="183" s="1"/>
  <c r="S96" i="183"/>
  <c r="X95" i="183"/>
  <c r="AD95" i="183" s="1"/>
  <c r="S95" i="183"/>
  <c r="Y95" i="183" s="1"/>
  <c r="X94" i="183"/>
  <c r="AD94" i="183" s="1"/>
  <c r="S94" i="183"/>
  <c r="Y94" i="183" s="1"/>
  <c r="X93" i="183"/>
  <c r="AD93" i="183" s="1"/>
  <c r="S93" i="183"/>
  <c r="S98" i="183" s="1"/>
  <c r="W91" i="183"/>
  <c r="W103" i="183" s="1"/>
  <c r="V91" i="183"/>
  <c r="U91" i="183"/>
  <c r="U103" i="183" s="1"/>
  <c r="R91" i="183"/>
  <c r="R103" i="183" s="1"/>
  <c r="Q91" i="183"/>
  <c r="Q103" i="183" s="1"/>
  <c r="P91" i="183"/>
  <c r="X90" i="183"/>
  <c r="AD90" i="183" s="1"/>
  <c r="S90" i="183"/>
  <c r="X89" i="183"/>
  <c r="S89" i="183"/>
  <c r="X87" i="183"/>
  <c r="S87" i="183"/>
  <c r="W79" i="183"/>
  <c r="V79" i="183"/>
  <c r="U79" i="183"/>
  <c r="R79" i="183"/>
  <c r="Q79" i="183"/>
  <c r="P79" i="183"/>
  <c r="X78" i="183"/>
  <c r="AD78" i="183" s="1"/>
  <c r="S78" i="183"/>
  <c r="X77" i="183"/>
  <c r="AD77" i="183" s="1"/>
  <c r="S77" i="183"/>
  <c r="Y77" i="183" s="1"/>
  <c r="X76" i="183"/>
  <c r="S76" i="183"/>
  <c r="W74" i="183"/>
  <c r="V74" i="183"/>
  <c r="U74" i="183"/>
  <c r="R74" i="183"/>
  <c r="Q74" i="183"/>
  <c r="P74" i="183"/>
  <c r="X73" i="183"/>
  <c r="AD73" i="183" s="1"/>
  <c r="S73" i="183"/>
  <c r="Y73" i="183" s="1"/>
  <c r="X72" i="183"/>
  <c r="AD72" i="183" s="1"/>
  <c r="S72" i="183"/>
  <c r="X71" i="183"/>
  <c r="AD71" i="183" s="1"/>
  <c r="S71" i="183"/>
  <c r="Y71" i="183" s="1"/>
  <c r="X70" i="183"/>
  <c r="AD70" i="183" s="1"/>
  <c r="S70" i="183"/>
  <c r="X69" i="183"/>
  <c r="S69" i="183"/>
  <c r="X63" i="183"/>
  <c r="AD63" i="183" s="1"/>
  <c r="S63" i="183"/>
  <c r="X62" i="183"/>
  <c r="S62" i="183"/>
  <c r="S67" i="183" s="1"/>
  <c r="W60" i="183"/>
  <c r="V60" i="183"/>
  <c r="U60" i="183"/>
  <c r="R60" i="183"/>
  <c r="Q60" i="183"/>
  <c r="P60" i="183"/>
  <c r="X59" i="183"/>
  <c r="AD59" i="183" s="1"/>
  <c r="S59" i="183"/>
  <c r="X58" i="183"/>
  <c r="AD58" i="183" s="1"/>
  <c r="S58" i="183"/>
  <c r="Y58" i="183"/>
  <c r="X57" i="183"/>
  <c r="AD57" i="183" s="1"/>
  <c r="S57" i="183"/>
  <c r="Y57" i="183" s="1"/>
  <c r="X56" i="183"/>
  <c r="AD56" i="183" s="1"/>
  <c r="S56" i="183"/>
  <c r="Y56" i="183" s="1"/>
  <c r="X55" i="183"/>
  <c r="AD55" i="183" s="1"/>
  <c r="S55" i="183"/>
  <c r="X54" i="183"/>
  <c r="S54" i="183"/>
  <c r="W52" i="183"/>
  <c r="V52" i="183"/>
  <c r="U52" i="183"/>
  <c r="R52" i="183"/>
  <c r="Q52" i="183"/>
  <c r="P52" i="183"/>
  <c r="X51" i="183"/>
  <c r="S51" i="183"/>
  <c r="X50" i="183"/>
  <c r="AD50" i="183" s="1"/>
  <c r="S50" i="183"/>
  <c r="X42" i="183"/>
  <c r="AD42" i="183" s="1"/>
  <c r="S42" i="183"/>
  <c r="X40" i="183"/>
  <c r="AD40" i="183" s="1"/>
  <c r="S40" i="183"/>
  <c r="W38" i="183"/>
  <c r="W43" i="183" s="1"/>
  <c r="V38" i="183"/>
  <c r="V43" i="183" s="1"/>
  <c r="U38" i="183"/>
  <c r="U43" i="183" s="1"/>
  <c r="R38" i="183"/>
  <c r="R43" i="183" s="1"/>
  <c r="Q38" i="183"/>
  <c r="Q43" i="183" s="1"/>
  <c r="P38" i="183"/>
  <c r="P43" i="183" s="1"/>
  <c r="X37" i="183"/>
  <c r="AD37" i="183" s="1"/>
  <c r="S37" i="183"/>
  <c r="Y37" i="183" s="1"/>
  <c r="X36" i="183"/>
  <c r="AD36" i="183" s="1"/>
  <c r="S36" i="183"/>
  <c r="X35" i="183"/>
  <c r="AD35" i="183" s="1"/>
  <c r="S35" i="183"/>
  <c r="X34" i="183"/>
  <c r="AD34" i="183" s="1"/>
  <c r="S34" i="183"/>
  <c r="X33" i="183"/>
  <c r="AD33" i="183" s="1"/>
  <c r="S33" i="183"/>
  <c r="X32" i="183"/>
  <c r="AD32" i="183" s="1"/>
  <c r="S32" i="183"/>
  <c r="X31" i="183"/>
  <c r="AD31" i="183" s="1"/>
  <c r="S31" i="183"/>
  <c r="X30" i="183"/>
  <c r="S30" i="183"/>
  <c r="W22" i="183"/>
  <c r="V22" i="183"/>
  <c r="U22" i="183"/>
  <c r="R22" i="183"/>
  <c r="Q22" i="183"/>
  <c r="P22" i="183"/>
  <c r="X21" i="183"/>
  <c r="AD21" i="183" s="1"/>
  <c r="S21" i="183"/>
  <c r="X20" i="183"/>
  <c r="AD20" i="183" s="1"/>
  <c r="S20" i="183"/>
  <c r="X19" i="183"/>
  <c r="AD19" i="183" s="1"/>
  <c r="S19" i="183"/>
  <c r="X18" i="183"/>
  <c r="S18" i="183"/>
  <c r="W16" i="183"/>
  <c r="V16" i="183"/>
  <c r="U16" i="183"/>
  <c r="R16" i="183"/>
  <c r="Q16" i="183"/>
  <c r="P16" i="183"/>
  <c r="X15" i="183"/>
  <c r="AD15" i="183" s="1"/>
  <c r="S15" i="183"/>
  <c r="X14" i="183"/>
  <c r="AD14" i="183" s="1"/>
  <c r="S14" i="183"/>
  <c r="X12" i="183"/>
  <c r="AD12" i="183" s="1"/>
  <c r="S12" i="183"/>
  <c r="X11" i="183"/>
  <c r="AD11" i="183" s="1"/>
  <c r="S11" i="183"/>
  <c r="X10" i="183"/>
  <c r="AD10" i="183" s="1"/>
  <c r="S10" i="183"/>
  <c r="X9" i="183"/>
  <c r="AD9" i="183" s="1"/>
  <c r="S9" i="183"/>
  <c r="X8" i="183"/>
  <c r="AD8" i="183" s="1"/>
  <c r="S8" i="183"/>
  <c r="X7" i="183"/>
  <c r="S7" i="183"/>
  <c r="M101" i="160"/>
  <c r="L101" i="160"/>
  <c r="K101" i="160"/>
  <c r="E39" i="160"/>
  <c r="E41" i="160"/>
  <c r="E49" i="160"/>
  <c r="E50" i="160"/>
  <c r="E51" i="160"/>
  <c r="E54" i="160"/>
  <c r="E55" i="160"/>
  <c r="E56" i="160"/>
  <c r="E57" i="160"/>
  <c r="E58" i="160"/>
  <c r="E61" i="160"/>
  <c r="E65" i="160"/>
  <c r="E68" i="160"/>
  <c r="E69" i="160"/>
  <c r="E70" i="160"/>
  <c r="E71" i="160"/>
  <c r="E72" i="160"/>
  <c r="E75" i="160"/>
  <c r="E77" i="160"/>
  <c r="E78" i="160"/>
  <c r="E87" i="160"/>
  <c r="E89" i="160"/>
  <c r="E90" i="160"/>
  <c r="E93" i="160"/>
  <c r="E94" i="160"/>
  <c r="E95" i="160"/>
  <c r="E96" i="160"/>
  <c r="E99" i="160"/>
  <c r="E100" i="160"/>
  <c r="P7" i="161"/>
  <c r="Q7" i="161"/>
  <c r="R7" i="161"/>
  <c r="P8" i="161"/>
  <c r="Q8" i="161"/>
  <c r="R8" i="161"/>
  <c r="P9" i="161"/>
  <c r="Q9" i="161"/>
  <c r="S9" i="161" s="1"/>
  <c r="R9" i="161"/>
  <c r="P10" i="161"/>
  <c r="Q10" i="161"/>
  <c r="R10" i="161"/>
  <c r="P11" i="161"/>
  <c r="Q11" i="161"/>
  <c r="R11" i="161"/>
  <c r="P12" i="161"/>
  <c r="Q12" i="161"/>
  <c r="R12" i="161"/>
  <c r="P13" i="161"/>
  <c r="Q13" i="161"/>
  <c r="R13" i="161"/>
  <c r="P14" i="161"/>
  <c r="Q14" i="161"/>
  <c r="R14" i="161"/>
  <c r="W113" i="161"/>
  <c r="V113" i="161"/>
  <c r="U113" i="161"/>
  <c r="W112" i="161"/>
  <c r="V112" i="161"/>
  <c r="U112" i="161"/>
  <c r="W111" i="161"/>
  <c r="V111" i="161"/>
  <c r="U111" i="161"/>
  <c r="W110" i="161"/>
  <c r="V110" i="161"/>
  <c r="U110" i="161"/>
  <c r="W109" i="161"/>
  <c r="V109" i="161"/>
  <c r="U109" i="161"/>
  <c r="W108" i="161"/>
  <c r="V108" i="161"/>
  <c r="U108" i="161"/>
  <c r="W106" i="161"/>
  <c r="V106" i="161"/>
  <c r="U106" i="161"/>
  <c r="W100" i="161"/>
  <c r="V100" i="161"/>
  <c r="U100" i="161"/>
  <c r="W99" i="161"/>
  <c r="V99" i="161"/>
  <c r="U99" i="161"/>
  <c r="W96" i="161"/>
  <c r="V96" i="161"/>
  <c r="U96" i="161"/>
  <c r="W95" i="161"/>
  <c r="V95" i="161"/>
  <c r="U95" i="161"/>
  <c r="W94" i="161"/>
  <c r="V94" i="161"/>
  <c r="U94" i="161"/>
  <c r="W93" i="161"/>
  <c r="V93" i="161"/>
  <c r="U93" i="161"/>
  <c r="W90" i="161"/>
  <c r="V90" i="161"/>
  <c r="U90" i="161"/>
  <c r="W89" i="161"/>
  <c r="V89" i="161"/>
  <c r="U89" i="161"/>
  <c r="W87" i="161"/>
  <c r="V87" i="161"/>
  <c r="U87" i="161"/>
  <c r="W78" i="161"/>
  <c r="V78" i="161"/>
  <c r="U78" i="161"/>
  <c r="W77" i="161"/>
  <c r="V77" i="161"/>
  <c r="U77" i="161"/>
  <c r="W75" i="161"/>
  <c r="V75" i="161"/>
  <c r="U75" i="161"/>
  <c r="W72" i="161"/>
  <c r="V72" i="161"/>
  <c r="U72" i="161"/>
  <c r="W71" i="161"/>
  <c r="V71" i="161"/>
  <c r="U71" i="161"/>
  <c r="W70" i="161"/>
  <c r="V70" i="161"/>
  <c r="U70" i="161"/>
  <c r="W69" i="161"/>
  <c r="V69" i="161"/>
  <c r="U69" i="161"/>
  <c r="W68" i="161"/>
  <c r="V68" i="161"/>
  <c r="U68" i="161"/>
  <c r="W65" i="161"/>
  <c r="V65" i="161"/>
  <c r="U65" i="161"/>
  <c r="W61" i="161"/>
  <c r="V61" i="161"/>
  <c r="U61" i="161"/>
  <c r="W58" i="161"/>
  <c r="V58" i="161"/>
  <c r="U58" i="161"/>
  <c r="W57" i="161"/>
  <c r="V57" i="161"/>
  <c r="U57" i="161"/>
  <c r="W56" i="161"/>
  <c r="V56" i="161"/>
  <c r="U56" i="161"/>
  <c r="W55" i="161"/>
  <c r="V55" i="161"/>
  <c r="U55" i="161"/>
  <c r="W54" i="161"/>
  <c r="V54" i="161"/>
  <c r="U54" i="161"/>
  <c r="W51" i="161"/>
  <c r="V51" i="161"/>
  <c r="U51" i="161"/>
  <c r="W50" i="161"/>
  <c r="V50" i="161"/>
  <c r="U50" i="161"/>
  <c r="W49" i="161"/>
  <c r="V49" i="161"/>
  <c r="U49" i="161"/>
  <c r="W41" i="161"/>
  <c r="V41" i="161"/>
  <c r="U41" i="161"/>
  <c r="W39" i="161"/>
  <c r="V39" i="161"/>
  <c r="U39" i="161"/>
  <c r="W36" i="161"/>
  <c r="V36" i="161"/>
  <c r="U36" i="161"/>
  <c r="W35" i="161"/>
  <c r="V35" i="161"/>
  <c r="U35" i="161"/>
  <c r="W34" i="161"/>
  <c r="V34" i="161"/>
  <c r="U34" i="161"/>
  <c r="W33" i="161"/>
  <c r="V33" i="161"/>
  <c r="U33" i="161"/>
  <c r="W32" i="161"/>
  <c r="V32" i="161"/>
  <c r="U32" i="161"/>
  <c r="W31" i="161"/>
  <c r="V31" i="161"/>
  <c r="U31" i="161"/>
  <c r="W30" i="161"/>
  <c r="V30" i="161"/>
  <c r="U30" i="161"/>
  <c r="W29" i="161"/>
  <c r="V29" i="161"/>
  <c r="U29" i="161"/>
  <c r="W20" i="161"/>
  <c r="V20" i="161"/>
  <c r="U20" i="161"/>
  <c r="W19" i="161"/>
  <c r="V19" i="161"/>
  <c r="U19" i="161"/>
  <c r="W18" i="161"/>
  <c r="V18" i="161"/>
  <c r="U18" i="161"/>
  <c r="W17" i="161"/>
  <c r="V17" i="161"/>
  <c r="U17" i="161"/>
  <c r="W14" i="161"/>
  <c r="V14" i="161"/>
  <c r="U14" i="161"/>
  <c r="W13" i="161"/>
  <c r="V13" i="161"/>
  <c r="U13" i="161"/>
  <c r="W12" i="161"/>
  <c r="V12" i="161"/>
  <c r="U12" i="161"/>
  <c r="W11" i="161"/>
  <c r="V11" i="161"/>
  <c r="U11" i="161"/>
  <c r="W10" i="161"/>
  <c r="V10" i="161"/>
  <c r="U10" i="161"/>
  <c r="W9" i="161"/>
  <c r="V9" i="161"/>
  <c r="U9" i="161"/>
  <c r="W8" i="161"/>
  <c r="V8" i="161"/>
  <c r="U8" i="161"/>
  <c r="W7" i="161"/>
  <c r="V7" i="161"/>
  <c r="U7" i="161"/>
  <c r="R113" i="161"/>
  <c r="Q113" i="161"/>
  <c r="P113" i="161"/>
  <c r="R112" i="161"/>
  <c r="Q112" i="161"/>
  <c r="P112" i="161"/>
  <c r="R111" i="161"/>
  <c r="Q111" i="161"/>
  <c r="P111" i="161"/>
  <c r="R110" i="161"/>
  <c r="Q110" i="161"/>
  <c r="P110" i="161"/>
  <c r="R109" i="161"/>
  <c r="Q109" i="161"/>
  <c r="P109" i="161"/>
  <c r="R108" i="161"/>
  <c r="Q108" i="161"/>
  <c r="P108" i="161"/>
  <c r="R106" i="161"/>
  <c r="Q106" i="161"/>
  <c r="P106" i="161"/>
  <c r="R100" i="161"/>
  <c r="Q100" i="161"/>
  <c r="P100" i="161"/>
  <c r="R99" i="161"/>
  <c r="Q99" i="161"/>
  <c r="P99" i="161"/>
  <c r="R96" i="161"/>
  <c r="Q96" i="161"/>
  <c r="P96" i="161"/>
  <c r="R95" i="161"/>
  <c r="Q95" i="161"/>
  <c r="P95" i="161"/>
  <c r="R94" i="161"/>
  <c r="Q94" i="161"/>
  <c r="P94" i="161"/>
  <c r="R93" i="161"/>
  <c r="Q93" i="161"/>
  <c r="P93" i="161"/>
  <c r="R90" i="161"/>
  <c r="Q90" i="161"/>
  <c r="P90" i="161"/>
  <c r="R89" i="161"/>
  <c r="Q89" i="161"/>
  <c r="P89" i="161"/>
  <c r="R87" i="161"/>
  <c r="Q87" i="161"/>
  <c r="P87" i="161"/>
  <c r="R78" i="161"/>
  <c r="Q78" i="161"/>
  <c r="P78" i="161"/>
  <c r="R77" i="161"/>
  <c r="Q77" i="161"/>
  <c r="P77" i="161"/>
  <c r="R75" i="161"/>
  <c r="Q75" i="161"/>
  <c r="P75" i="161"/>
  <c r="R72" i="161"/>
  <c r="Q72" i="161"/>
  <c r="P72" i="161"/>
  <c r="R71" i="161"/>
  <c r="Q71" i="161"/>
  <c r="P71" i="161"/>
  <c r="R70" i="161"/>
  <c r="Q70" i="161"/>
  <c r="P70" i="161"/>
  <c r="R69" i="161"/>
  <c r="Q69" i="161"/>
  <c r="P69" i="161"/>
  <c r="R68" i="161"/>
  <c r="Q68" i="161"/>
  <c r="P68" i="161"/>
  <c r="R65" i="161"/>
  <c r="Q65" i="161"/>
  <c r="P65" i="161"/>
  <c r="R61" i="161"/>
  <c r="Q61" i="161"/>
  <c r="P61" i="161"/>
  <c r="R58" i="161"/>
  <c r="Q58" i="161"/>
  <c r="P58" i="161"/>
  <c r="R57" i="161"/>
  <c r="Q57" i="161"/>
  <c r="P57" i="161"/>
  <c r="R56" i="161"/>
  <c r="Q56" i="161"/>
  <c r="P56" i="161"/>
  <c r="R55" i="161"/>
  <c r="Q55" i="161"/>
  <c r="P55" i="161"/>
  <c r="R54" i="161"/>
  <c r="Q54" i="161"/>
  <c r="P54" i="161"/>
  <c r="R51" i="161"/>
  <c r="Q51" i="161"/>
  <c r="P51" i="161"/>
  <c r="R50" i="161"/>
  <c r="Q50" i="161"/>
  <c r="P50" i="161"/>
  <c r="R49" i="161"/>
  <c r="Q49" i="161"/>
  <c r="P49" i="161"/>
  <c r="R41" i="161"/>
  <c r="Q41" i="161"/>
  <c r="P41" i="161"/>
  <c r="R39" i="161"/>
  <c r="Q39" i="161"/>
  <c r="P39" i="161"/>
  <c r="R36" i="161"/>
  <c r="Q36" i="161"/>
  <c r="P36" i="161"/>
  <c r="R35" i="161"/>
  <c r="Q35" i="161"/>
  <c r="P35" i="161"/>
  <c r="R34" i="161"/>
  <c r="Q34" i="161"/>
  <c r="P34" i="161"/>
  <c r="R33" i="161"/>
  <c r="Q33" i="161"/>
  <c r="P33" i="161"/>
  <c r="R32" i="161"/>
  <c r="Q32" i="161"/>
  <c r="P32" i="161"/>
  <c r="R31" i="161"/>
  <c r="Q31" i="161"/>
  <c r="P31" i="161"/>
  <c r="R30" i="161"/>
  <c r="Q30" i="161"/>
  <c r="P30" i="161"/>
  <c r="R29" i="161"/>
  <c r="Q29" i="161"/>
  <c r="P29" i="161"/>
  <c r="R20" i="161"/>
  <c r="Q20" i="161"/>
  <c r="P20" i="161"/>
  <c r="R19" i="161"/>
  <c r="Q19" i="161"/>
  <c r="P19" i="161"/>
  <c r="R18" i="161"/>
  <c r="Q18" i="161"/>
  <c r="P18" i="161"/>
  <c r="R17" i="161"/>
  <c r="Q17" i="161"/>
  <c r="P17" i="161"/>
  <c r="W114" i="160"/>
  <c r="V114" i="160"/>
  <c r="U114" i="160"/>
  <c r="X113" i="160"/>
  <c r="AD113" i="160" s="1"/>
  <c r="X112" i="160"/>
  <c r="AD112" i="160" s="1"/>
  <c r="X111" i="160"/>
  <c r="AD111" i="160" s="1"/>
  <c r="X110" i="160"/>
  <c r="AD110" i="160" s="1"/>
  <c r="X109" i="160"/>
  <c r="AD109" i="160" s="1"/>
  <c r="X108" i="160"/>
  <c r="AD108" i="160" s="1"/>
  <c r="X106" i="160"/>
  <c r="AD106" i="160" s="1"/>
  <c r="W101" i="160"/>
  <c r="V101" i="160"/>
  <c r="U101" i="160"/>
  <c r="X100" i="160"/>
  <c r="X99" i="160"/>
  <c r="AD99" i="160" s="1"/>
  <c r="W97" i="160"/>
  <c r="V97" i="160"/>
  <c r="U97" i="160"/>
  <c r="X96" i="160"/>
  <c r="AD96" i="160" s="1"/>
  <c r="X95" i="160"/>
  <c r="AD95" i="160" s="1"/>
  <c r="X94" i="160"/>
  <c r="AD94" i="160" s="1"/>
  <c r="X93" i="160"/>
  <c r="W91" i="160"/>
  <c r="W102" i="160" s="1"/>
  <c r="V91" i="160"/>
  <c r="U91" i="160"/>
  <c r="U102" i="160" s="1"/>
  <c r="X90" i="160"/>
  <c r="AD90" i="160" s="1"/>
  <c r="X89" i="160"/>
  <c r="X87" i="160"/>
  <c r="AD87" i="160" s="1"/>
  <c r="W79" i="160"/>
  <c r="V79" i="160"/>
  <c r="U79" i="160"/>
  <c r="X78" i="160"/>
  <c r="AD78" i="160" s="1"/>
  <c r="X77" i="160"/>
  <c r="AD77" i="160" s="1"/>
  <c r="X75" i="160"/>
  <c r="W73" i="160"/>
  <c r="V73" i="160"/>
  <c r="U73" i="160"/>
  <c r="X72" i="160"/>
  <c r="AD72" i="160" s="1"/>
  <c r="X71" i="160"/>
  <c r="AD71" i="160" s="1"/>
  <c r="X70" i="160"/>
  <c r="AD70" i="160" s="1"/>
  <c r="X69" i="160"/>
  <c r="AD69" i="160" s="1"/>
  <c r="X68" i="160"/>
  <c r="AD68" i="160" s="1"/>
  <c r="X65" i="160"/>
  <c r="X61" i="160"/>
  <c r="W59" i="160"/>
  <c r="V59" i="160"/>
  <c r="U59" i="160"/>
  <c r="X58" i="160"/>
  <c r="AD58" i="160" s="1"/>
  <c r="X57" i="160"/>
  <c r="AD57" i="160" s="1"/>
  <c r="X56" i="160"/>
  <c r="AD56" i="160" s="1"/>
  <c r="X55" i="160"/>
  <c r="AD55" i="160" s="1"/>
  <c r="X54" i="160"/>
  <c r="W52" i="160"/>
  <c r="V52" i="160"/>
  <c r="U52" i="160"/>
  <c r="X51" i="160"/>
  <c r="X50" i="160"/>
  <c r="AD50" i="160" s="1"/>
  <c r="X49" i="160"/>
  <c r="AD49" i="160" s="1"/>
  <c r="X41" i="160"/>
  <c r="AD41" i="160" s="1"/>
  <c r="X39" i="160"/>
  <c r="AD39" i="160" s="1"/>
  <c r="W37" i="160"/>
  <c r="W42" i="160" s="1"/>
  <c r="V37" i="160"/>
  <c r="V42" i="160" s="1"/>
  <c r="U37" i="160"/>
  <c r="U42" i="160" s="1"/>
  <c r="X36" i="160"/>
  <c r="AD36" i="160" s="1"/>
  <c r="X35" i="160"/>
  <c r="AD35" i="160" s="1"/>
  <c r="X34" i="160"/>
  <c r="AD34" i="160" s="1"/>
  <c r="X33" i="160"/>
  <c r="AD33" i="160" s="1"/>
  <c r="X32" i="160"/>
  <c r="AD32" i="160" s="1"/>
  <c r="X31" i="160"/>
  <c r="AD31" i="160" s="1"/>
  <c r="X30" i="160"/>
  <c r="AD30" i="160" s="1"/>
  <c r="X29" i="160"/>
  <c r="AD29" i="160" s="1"/>
  <c r="W21" i="160"/>
  <c r="V21" i="160"/>
  <c r="U21" i="160"/>
  <c r="X20" i="160"/>
  <c r="AD20" i="160" s="1"/>
  <c r="X19" i="160"/>
  <c r="AD19" i="160" s="1"/>
  <c r="X18" i="160"/>
  <c r="AD18" i="160" s="1"/>
  <c r="X17" i="160"/>
  <c r="W15" i="160"/>
  <c r="V15" i="160"/>
  <c r="V22" i="160" s="1"/>
  <c r="U15" i="160"/>
  <c r="X14" i="160"/>
  <c r="AD14" i="160" s="1"/>
  <c r="X13" i="160"/>
  <c r="AD13" i="160" s="1"/>
  <c r="X12" i="160"/>
  <c r="AD12" i="160" s="1"/>
  <c r="X11" i="160"/>
  <c r="AD11" i="160" s="1"/>
  <c r="X10" i="160"/>
  <c r="AD10" i="160" s="1"/>
  <c r="X9" i="160"/>
  <c r="AD9" i="160" s="1"/>
  <c r="X8" i="160"/>
  <c r="AD8" i="160" s="1"/>
  <c r="X7" i="160"/>
  <c r="R114" i="160"/>
  <c r="Q114" i="160"/>
  <c r="P114" i="160"/>
  <c r="S113" i="160"/>
  <c r="Y113" i="160" s="1"/>
  <c r="S112" i="160"/>
  <c r="S111" i="160"/>
  <c r="Y111" i="160" s="1"/>
  <c r="S110" i="160"/>
  <c r="S109" i="160"/>
  <c r="S108" i="160"/>
  <c r="S106" i="160"/>
  <c r="R101" i="160"/>
  <c r="Q101" i="160"/>
  <c r="P101" i="160"/>
  <c r="S100" i="160"/>
  <c r="S99" i="160"/>
  <c r="Y99" i="160" s="1"/>
  <c r="R97" i="160"/>
  <c r="Q97" i="160"/>
  <c r="P97" i="160"/>
  <c r="S96" i="160"/>
  <c r="Y96" i="160" s="1"/>
  <c r="S95" i="160"/>
  <c r="Y95" i="160" s="1"/>
  <c r="S94" i="160"/>
  <c r="S93" i="160"/>
  <c r="Y93" i="160" s="1"/>
  <c r="R91" i="160"/>
  <c r="Q91" i="160"/>
  <c r="Q102" i="160" s="1"/>
  <c r="P91" i="160"/>
  <c r="S90" i="160"/>
  <c r="Y90" i="160" s="1"/>
  <c r="S89" i="160"/>
  <c r="S87" i="160"/>
  <c r="R79" i="160"/>
  <c r="Q79" i="160"/>
  <c r="P79" i="160"/>
  <c r="S78" i="160"/>
  <c r="Y78" i="160" s="1"/>
  <c r="S77" i="160"/>
  <c r="S75" i="160"/>
  <c r="R73" i="160"/>
  <c r="Q73" i="160"/>
  <c r="P73" i="160"/>
  <c r="S72" i="160"/>
  <c r="Y72" i="160" s="1"/>
  <c r="S71" i="160"/>
  <c r="S70" i="160"/>
  <c r="Y70" i="160" s="1"/>
  <c r="S69" i="160"/>
  <c r="S68" i="160"/>
  <c r="Y68" i="160" s="1"/>
  <c r="S65" i="160"/>
  <c r="S61" i="160"/>
  <c r="R59" i="160"/>
  <c r="Q59" i="160"/>
  <c r="P59" i="160"/>
  <c r="S58" i="160"/>
  <c r="Y58" i="160" s="1"/>
  <c r="S57" i="160"/>
  <c r="S56" i="160"/>
  <c r="Y56" i="160" s="1"/>
  <c r="S55" i="160"/>
  <c r="S54" i="160"/>
  <c r="Y54" i="160" s="1"/>
  <c r="R52" i="160"/>
  <c r="Q52" i="160"/>
  <c r="Q80" i="160" s="1"/>
  <c r="P52" i="160"/>
  <c r="P80" i="160" s="1"/>
  <c r="S51" i="160"/>
  <c r="S50" i="160"/>
  <c r="S49" i="160"/>
  <c r="Y49" i="160" s="1"/>
  <c r="S41" i="160"/>
  <c r="Y41" i="160" s="1"/>
  <c r="S39" i="160"/>
  <c r="Y39" i="160" s="1"/>
  <c r="R37" i="160"/>
  <c r="R42" i="160" s="1"/>
  <c r="Q37" i="160"/>
  <c r="Q42" i="160" s="1"/>
  <c r="P37" i="160"/>
  <c r="P42" i="160" s="1"/>
  <c r="S36" i="160"/>
  <c r="Y36" i="160" s="1"/>
  <c r="S35" i="160"/>
  <c r="Y35" i="160" s="1"/>
  <c r="S34" i="160"/>
  <c r="Y34" i="160" s="1"/>
  <c r="S33" i="160"/>
  <c r="Y33" i="160" s="1"/>
  <c r="S32" i="160"/>
  <c r="Y32" i="160" s="1"/>
  <c r="S31" i="160"/>
  <c r="Y31" i="160" s="1"/>
  <c r="S30" i="160"/>
  <c r="Y30" i="160" s="1"/>
  <c r="S29" i="160"/>
  <c r="R21" i="160"/>
  <c r="Q21" i="160"/>
  <c r="P21" i="160"/>
  <c r="S20" i="160"/>
  <c r="Y20" i="160" s="1"/>
  <c r="S19" i="160"/>
  <c r="Y19" i="160" s="1"/>
  <c r="S18" i="160"/>
  <c r="Y18" i="160" s="1"/>
  <c r="S17" i="160"/>
  <c r="R15" i="160"/>
  <c r="R22" i="160" s="1"/>
  <c r="Q15" i="160"/>
  <c r="P15" i="160"/>
  <c r="P22" i="160" s="1"/>
  <c r="S14" i="160"/>
  <c r="Y14" i="160" s="1"/>
  <c r="S13" i="160"/>
  <c r="Y13" i="160" s="1"/>
  <c r="S12" i="160"/>
  <c r="Y12" i="160" s="1"/>
  <c r="S11" i="160"/>
  <c r="S10" i="160"/>
  <c r="Y10" i="160" s="1"/>
  <c r="S9" i="160"/>
  <c r="Y9" i="160" s="1"/>
  <c r="S8" i="160"/>
  <c r="Y8" i="160" s="1"/>
  <c r="S7" i="160"/>
  <c r="C3" i="27"/>
  <c r="E3" i="27" s="1"/>
  <c r="G3" i="27" s="1"/>
  <c r="I3" i="27" s="1"/>
  <c r="K3" i="27" s="1"/>
  <c r="B24" i="27"/>
  <c r="C6" i="27"/>
  <c r="R106" i="186"/>
  <c r="R105" i="186"/>
  <c r="R104" i="186"/>
  <c r="R103" i="186"/>
  <c r="R97" i="186"/>
  <c r="R96" i="186"/>
  <c r="R93" i="186"/>
  <c r="R92" i="186"/>
  <c r="R91" i="186"/>
  <c r="R90" i="186"/>
  <c r="R89" i="186"/>
  <c r="R86" i="186"/>
  <c r="R85" i="186"/>
  <c r="R82" i="186"/>
  <c r="R81" i="186"/>
  <c r="R72" i="186"/>
  <c r="R71" i="186"/>
  <c r="R68" i="186"/>
  <c r="R67" i="186"/>
  <c r="R66" i="186"/>
  <c r="R65" i="186"/>
  <c r="R64" i="186"/>
  <c r="R69" i="186" s="1"/>
  <c r="R57" i="186"/>
  <c r="R56" i="186"/>
  <c r="R61" i="186" s="1"/>
  <c r="R53" i="186"/>
  <c r="R52" i="186"/>
  <c r="R51" i="186"/>
  <c r="R50" i="186"/>
  <c r="R49" i="186"/>
  <c r="R48" i="186"/>
  <c r="R45" i="186"/>
  <c r="R37" i="186"/>
  <c r="R35" i="186"/>
  <c r="R32" i="186"/>
  <c r="R31" i="186"/>
  <c r="R30" i="186"/>
  <c r="R29" i="186"/>
  <c r="R28" i="186"/>
  <c r="R19" i="186"/>
  <c r="R18" i="186"/>
  <c r="R17" i="186"/>
  <c r="R14" i="186"/>
  <c r="R13" i="186"/>
  <c r="R12" i="186"/>
  <c r="R11" i="186"/>
  <c r="R10" i="186"/>
  <c r="R9" i="186"/>
  <c r="R8" i="186"/>
  <c r="R7" i="186"/>
  <c r="Q106" i="186"/>
  <c r="P106" i="186"/>
  <c r="Q105" i="186"/>
  <c r="P105" i="186"/>
  <c r="Q104" i="186"/>
  <c r="P104" i="186"/>
  <c r="Q103" i="186"/>
  <c r="Q107" i="186" s="1"/>
  <c r="P103" i="186"/>
  <c r="Q97" i="186"/>
  <c r="P97" i="186"/>
  <c r="Q96" i="186"/>
  <c r="P96" i="186"/>
  <c r="Q93" i="186"/>
  <c r="P93" i="186"/>
  <c r="Q92" i="186"/>
  <c r="P92" i="186"/>
  <c r="Q91" i="186"/>
  <c r="P91" i="186"/>
  <c r="Q90" i="186"/>
  <c r="Q94" i="186" s="1"/>
  <c r="P90" i="186"/>
  <c r="Q89" i="186"/>
  <c r="P89" i="186"/>
  <c r="Q86" i="186"/>
  <c r="Q87" i="186" s="1"/>
  <c r="P86" i="186"/>
  <c r="Q85" i="186"/>
  <c r="P85" i="186"/>
  <c r="Q82" i="186"/>
  <c r="Q83" i="186" s="1"/>
  <c r="P82" i="186"/>
  <c r="Q81" i="186"/>
  <c r="P81" i="186"/>
  <c r="Q72" i="186"/>
  <c r="P72" i="186"/>
  <c r="Q71" i="186"/>
  <c r="P71" i="186"/>
  <c r="Q68" i="186"/>
  <c r="P68" i="186"/>
  <c r="Q67" i="186"/>
  <c r="P67" i="186"/>
  <c r="Q66" i="186"/>
  <c r="P66" i="186"/>
  <c r="Q65" i="186"/>
  <c r="P65" i="186"/>
  <c r="Q64" i="186"/>
  <c r="Q69" i="186" s="1"/>
  <c r="P64" i="186"/>
  <c r="P69" i="186" s="1"/>
  <c r="Q57" i="186"/>
  <c r="P57" i="186"/>
  <c r="Q56" i="186"/>
  <c r="Q61" i="186" s="1"/>
  <c r="P56" i="186"/>
  <c r="P61" i="186" s="1"/>
  <c r="Q53" i="186"/>
  <c r="P53" i="186"/>
  <c r="Q52" i="186"/>
  <c r="P52" i="186"/>
  <c r="Q51" i="186"/>
  <c r="P51" i="186"/>
  <c r="Q50" i="186"/>
  <c r="P50" i="186"/>
  <c r="Q49" i="186"/>
  <c r="P49" i="186"/>
  <c r="Q48" i="186"/>
  <c r="Q54" i="186" s="1"/>
  <c r="P48" i="186"/>
  <c r="Q45" i="186"/>
  <c r="Q46" i="186" s="1"/>
  <c r="P45" i="186"/>
  <c r="P46" i="186" s="1"/>
  <c r="Q37" i="186"/>
  <c r="P37" i="186"/>
  <c r="Q35" i="186"/>
  <c r="P35" i="186"/>
  <c r="Q32" i="186"/>
  <c r="P32" i="186"/>
  <c r="Q31" i="186"/>
  <c r="P31" i="186"/>
  <c r="Q30" i="186"/>
  <c r="P30" i="186"/>
  <c r="Q29" i="186"/>
  <c r="P29" i="186"/>
  <c r="Q28" i="186"/>
  <c r="P28" i="186"/>
  <c r="P33" i="186" s="1"/>
  <c r="P38" i="186" s="1"/>
  <c r="Q19" i="186"/>
  <c r="P19" i="186"/>
  <c r="Q18" i="186"/>
  <c r="P18" i="186"/>
  <c r="Q17" i="186"/>
  <c r="P17" i="186"/>
  <c r="Q14" i="186"/>
  <c r="P14" i="186"/>
  <c r="Q13" i="186"/>
  <c r="P13" i="186"/>
  <c r="Q12" i="186"/>
  <c r="P12" i="186"/>
  <c r="Q11" i="186"/>
  <c r="P11" i="186"/>
  <c r="Q10" i="186"/>
  <c r="P10" i="186"/>
  <c r="Q9" i="186"/>
  <c r="P9" i="186"/>
  <c r="Q8" i="186"/>
  <c r="P8" i="186"/>
  <c r="Q7" i="186"/>
  <c r="P7" i="186"/>
  <c r="E51" i="186"/>
  <c r="E51" i="185"/>
  <c r="H106" i="186"/>
  <c r="G106" i="186"/>
  <c r="F106" i="186"/>
  <c r="H105" i="186"/>
  <c r="G105" i="186"/>
  <c r="F105" i="186"/>
  <c r="H104" i="186"/>
  <c r="G104" i="186"/>
  <c r="F104" i="186"/>
  <c r="H103" i="186"/>
  <c r="G103" i="186"/>
  <c r="F103" i="186"/>
  <c r="H97" i="186"/>
  <c r="G97" i="186"/>
  <c r="F97" i="186"/>
  <c r="H96" i="186"/>
  <c r="G96" i="186"/>
  <c r="F96" i="186"/>
  <c r="H93" i="186"/>
  <c r="G93" i="186"/>
  <c r="F93" i="186"/>
  <c r="H92" i="186"/>
  <c r="G92" i="186"/>
  <c r="F92" i="186"/>
  <c r="H91" i="186"/>
  <c r="G91" i="186"/>
  <c r="F91" i="186"/>
  <c r="H90" i="186"/>
  <c r="G90" i="186"/>
  <c r="F90" i="186"/>
  <c r="H89" i="186"/>
  <c r="G89" i="186"/>
  <c r="F89" i="186"/>
  <c r="H86" i="186"/>
  <c r="G86" i="186"/>
  <c r="F86" i="186"/>
  <c r="H85" i="186"/>
  <c r="G85" i="186"/>
  <c r="F85" i="186"/>
  <c r="I85" i="186" s="1"/>
  <c r="H82" i="186"/>
  <c r="G82" i="186"/>
  <c r="F82" i="186"/>
  <c r="H81" i="186"/>
  <c r="G81" i="186"/>
  <c r="F81" i="186"/>
  <c r="H72" i="186"/>
  <c r="G72" i="186"/>
  <c r="F72" i="186"/>
  <c r="H71" i="186"/>
  <c r="G71" i="186"/>
  <c r="F71" i="186"/>
  <c r="H68" i="186"/>
  <c r="G68" i="186"/>
  <c r="F68" i="186"/>
  <c r="H67" i="186"/>
  <c r="G67" i="186"/>
  <c r="F67" i="186"/>
  <c r="H66" i="186"/>
  <c r="G66" i="186"/>
  <c r="F66" i="186"/>
  <c r="H65" i="186"/>
  <c r="G65" i="186"/>
  <c r="F65" i="186"/>
  <c r="H64" i="186"/>
  <c r="G64" i="186"/>
  <c r="G69" i="186" s="1"/>
  <c r="F64" i="186"/>
  <c r="H57" i="186"/>
  <c r="G57" i="186"/>
  <c r="F57" i="186"/>
  <c r="H56" i="186"/>
  <c r="G56" i="186"/>
  <c r="F56" i="186"/>
  <c r="H53" i="186"/>
  <c r="G53" i="186"/>
  <c r="F53" i="186"/>
  <c r="H52" i="186"/>
  <c r="G52" i="186"/>
  <c r="F52" i="186"/>
  <c r="H51" i="186"/>
  <c r="G51" i="186"/>
  <c r="F51" i="186"/>
  <c r="H50" i="186"/>
  <c r="G50" i="186"/>
  <c r="F50" i="186"/>
  <c r="H49" i="186"/>
  <c r="G49" i="186"/>
  <c r="F49" i="186"/>
  <c r="H48" i="186"/>
  <c r="G48" i="186"/>
  <c r="F48" i="186"/>
  <c r="H45" i="186"/>
  <c r="H46" i="186" s="1"/>
  <c r="G45" i="186"/>
  <c r="G46" i="186" s="1"/>
  <c r="F45" i="186"/>
  <c r="F46" i="186" s="1"/>
  <c r="H37" i="186"/>
  <c r="G37" i="186"/>
  <c r="F37" i="186"/>
  <c r="H35" i="186"/>
  <c r="G35" i="186"/>
  <c r="F35" i="186"/>
  <c r="H32" i="186"/>
  <c r="G32" i="186"/>
  <c r="F32" i="186"/>
  <c r="H31" i="186"/>
  <c r="G31" i="186"/>
  <c r="F31" i="186"/>
  <c r="H30" i="186"/>
  <c r="G30" i="186"/>
  <c r="F30" i="186"/>
  <c r="H29" i="186"/>
  <c r="G29" i="186"/>
  <c r="F29" i="186"/>
  <c r="H28" i="186"/>
  <c r="G28" i="186"/>
  <c r="F28" i="186"/>
  <c r="H19" i="186"/>
  <c r="G19" i="186"/>
  <c r="F19" i="186"/>
  <c r="H18" i="186"/>
  <c r="G18" i="186"/>
  <c r="F18" i="186"/>
  <c r="H17" i="186"/>
  <c r="G17" i="186"/>
  <c r="F17" i="186"/>
  <c r="D82" i="186"/>
  <c r="C82" i="186"/>
  <c r="B82" i="186"/>
  <c r="D81" i="186"/>
  <c r="C81" i="186"/>
  <c r="B81" i="186"/>
  <c r="D72" i="186"/>
  <c r="C72" i="186"/>
  <c r="B72" i="186"/>
  <c r="D71" i="186"/>
  <c r="C71" i="186"/>
  <c r="B71" i="186"/>
  <c r="D68" i="186"/>
  <c r="C68" i="186"/>
  <c r="B68" i="186"/>
  <c r="D67" i="186"/>
  <c r="C67" i="186"/>
  <c r="B67" i="186"/>
  <c r="D66" i="186"/>
  <c r="C66" i="186"/>
  <c r="B66" i="186"/>
  <c r="D65" i="186"/>
  <c r="C65" i="186"/>
  <c r="B65" i="186"/>
  <c r="D64" i="186"/>
  <c r="C64" i="186"/>
  <c r="C69" i="186" s="1"/>
  <c r="B64" i="186"/>
  <c r="D57" i="186"/>
  <c r="C57" i="186"/>
  <c r="B57" i="186"/>
  <c r="D56" i="186"/>
  <c r="C56" i="186"/>
  <c r="B56" i="186"/>
  <c r="D53" i="186"/>
  <c r="C53" i="186"/>
  <c r="B53" i="186"/>
  <c r="D52" i="186"/>
  <c r="C52" i="186"/>
  <c r="B52" i="186"/>
  <c r="D50" i="186"/>
  <c r="C50" i="186"/>
  <c r="B50" i="186"/>
  <c r="D49" i="186"/>
  <c r="C49" i="186"/>
  <c r="B49" i="186"/>
  <c r="D48" i="186"/>
  <c r="C48" i="186"/>
  <c r="B48" i="186"/>
  <c r="D45" i="186"/>
  <c r="D46" i="186" s="1"/>
  <c r="C45" i="186"/>
  <c r="B45" i="186"/>
  <c r="B46" i="186" s="1"/>
  <c r="D37" i="186"/>
  <c r="C37" i="186"/>
  <c r="B37" i="186"/>
  <c r="D35" i="186"/>
  <c r="C35" i="186"/>
  <c r="B35" i="186"/>
  <c r="D29" i="186"/>
  <c r="D30" i="186"/>
  <c r="D31" i="186"/>
  <c r="D32" i="186"/>
  <c r="D28" i="186"/>
  <c r="C29" i="186"/>
  <c r="C30" i="186"/>
  <c r="C31" i="186"/>
  <c r="C32" i="186"/>
  <c r="C28" i="186"/>
  <c r="B29" i="186"/>
  <c r="B30" i="186"/>
  <c r="B31" i="186"/>
  <c r="B32" i="186"/>
  <c r="B28" i="186"/>
  <c r="B22" i="279"/>
  <c r="B16" i="279"/>
  <c r="L8" i="277"/>
  <c r="K8" i="277"/>
  <c r="J8" i="277"/>
  <c r="L7" i="277"/>
  <c r="K7" i="277"/>
  <c r="J7" i="277"/>
  <c r="L6" i="277"/>
  <c r="K6" i="277"/>
  <c r="J6" i="277"/>
  <c r="L5" i="277"/>
  <c r="K5" i="277"/>
  <c r="J5" i="277"/>
  <c r="L4" i="277"/>
  <c r="K4" i="277"/>
  <c r="J4" i="277"/>
  <c r="J30" i="281"/>
  <c r="J32" i="281"/>
  <c r="J34" i="281"/>
  <c r="K30" i="281"/>
  <c r="K32" i="281"/>
  <c r="K34" i="281"/>
  <c r="K36" i="281"/>
  <c r="I36" i="281"/>
  <c r="J36" i="281"/>
  <c r="P36" i="281" s="1"/>
  <c r="M444" i="311"/>
  <c r="L444" i="311"/>
  <c r="K444" i="311"/>
  <c r="J444" i="311"/>
  <c r="I444" i="311"/>
  <c r="H444" i="311"/>
  <c r="G444" i="311"/>
  <c r="F444" i="311"/>
  <c r="E444" i="311"/>
  <c r="D444" i="311"/>
  <c r="C444" i="311"/>
  <c r="B444" i="311"/>
  <c r="M432" i="311"/>
  <c r="L432" i="311"/>
  <c r="K432" i="311"/>
  <c r="J432" i="311"/>
  <c r="I432" i="311"/>
  <c r="H432" i="311"/>
  <c r="G432" i="311"/>
  <c r="F432" i="311"/>
  <c r="E432" i="311"/>
  <c r="D432" i="311"/>
  <c r="C432" i="311"/>
  <c r="B432" i="311"/>
  <c r="M425" i="311"/>
  <c r="L425" i="311"/>
  <c r="K425" i="311"/>
  <c r="J425" i="311"/>
  <c r="I425" i="311"/>
  <c r="H425" i="311"/>
  <c r="G425" i="311"/>
  <c r="F425" i="311"/>
  <c r="E425" i="311"/>
  <c r="D425" i="311"/>
  <c r="C425" i="311"/>
  <c r="B425" i="311"/>
  <c r="M419" i="311"/>
  <c r="L419" i="311"/>
  <c r="K419" i="311"/>
  <c r="J419" i="311"/>
  <c r="I419" i="311"/>
  <c r="H419" i="311"/>
  <c r="G419" i="311"/>
  <c r="F419" i="311"/>
  <c r="E419" i="311"/>
  <c r="D419" i="311"/>
  <c r="C419" i="311"/>
  <c r="B419" i="311"/>
  <c r="M407" i="311"/>
  <c r="L407" i="311"/>
  <c r="K407" i="311"/>
  <c r="J407" i="311"/>
  <c r="I407" i="311"/>
  <c r="H407" i="311"/>
  <c r="G407" i="311"/>
  <c r="F407" i="311"/>
  <c r="E407" i="311"/>
  <c r="D407" i="311"/>
  <c r="C407" i="311"/>
  <c r="B407" i="311"/>
  <c r="M389" i="311"/>
  <c r="L389" i="311"/>
  <c r="K389" i="311"/>
  <c r="J389" i="311"/>
  <c r="I389" i="311"/>
  <c r="H389" i="311"/>
  <c r="G389" i="311"/>
  <c r="F389" i="311"/>
  <c r="E389" i="311"/>
  <c r="D389" i="311"/>
  <c r="C389" i="311"/>
  <c r="B389" i="311"/>
  <c r="M359" i="311"/>
  <c r="L359" i="311"/>
  <c r="K359" i="311"/>
  <c r="J359" i="311"/>
  <c r="I359" i="311"/>
  <c r="H359" i="311"/>
  <c r="G359" i="311"/>
  <c r="F359" i="311"/>
  <c r="E359" i="311"/>
  <c r="D359" i="311"/>
  <c r="C359" i="311"/>
  <c r="B359" i="311"/>
  <c r="M352" i="311"/>
  <c r="L352" i="311"/>
  <c r="K352" i="311"/>
  <c r="J352" i="311"/>
  <c r="I352" i="311"/>
  <c r="H352" i="311"/>
  <c r="G352" i="311"/>
  <c r="F352" i="311"/>
  <c r="E352" i="311"/>
  <c r="D352" i="311"/>
  <c r="C352" i="311"/>
  <c r="B352" i="311"/>
  <c r="M338" i="311"/>
  <c r="L338" i="311"/>
  <c r="K338" i="311"/>
  <c r="J338" i="311"/>
  <c r="I338" i="311"/>
  <c r="H338" i="311"/>
  <c r="G338" i="311"/>
  <c r="F338" i="311"/>
  <c r="E338" i="311"/>
  <c r="D338" i="311"/>
  <c r="C338" i="311"/>
  <c r="B338" i="311"/>
  <c r="M331" i="311"/>
  <c r="L331" i="311"/>
  <c r="K331" i="311"/>
  <c r="J331" i="311"/>
  <c r="I331" i="311"/>
  <c r="H331" i="311"/>
  <c r="G331" i="311"/>
  <c r="F331" i="311"/>
  <c r="E331" i="311"/>
  <c r="D331" i="311"/>
  <c r="C331" i="311"/>
  <c r="B331" i="311"/>
  <c r="M325" i="311"/>
  <c r="L325" i="311"/>
  <c r="K325" i="311"/>
  <c r="J325" i="311"/>
  <c r="I325" i="311"/>
  <c r="H325" i="311"/>
  <c r="G325" i="311"/>
  <c r="F325" i="311"/>
  <c r="E325" i="311"/>
  <c r="D325" i="311"/>
  <c r="C325" i="311"/>
  <c r="B325" i="311"/>
  <c r="M321" i="311"/>
  <c r="L321" i="311"/>
  <c r="K321" i="311"/>
  <c r="J321" i="311"/>
  <c r="I321" i="311"/>
  <c r="H321" i="311"/>
  <c r="G321" i="311"/>
  <c r="F321" i="311"/>
  <c r="E321" i="311"/>
  <c r="D321" i="311"/>
  <c r="C321" i="311"/>
  <c r="B321" i="311"/>
  <c r="M313" i="311"/>
  <c r="L313" i="311"/>
  <c r="K313" i="311"/>
  <c r="J313" i="311"/>
  <c r="I313" i="311"/>
  <c r="H313" i="311"/>
  <c r="G313" i="311"/>
  <c r="F313" i="311"/>
  <c r="E313" i="311"/>
  <c r="D313" i="311"/>
  <c r="C313" i="311"/>
  <c r="B313" i="311"/>
  <c r="M309" i="311"/>
  <c r="L309" i="311"/>
  <c r="K309" i="311"/>
  <c r="J309" i="311"/>
  <c r="I309" i="311"/>
  <c r="H309" i="311"/>
  <c r="G309" i="311"/>
  <c r="F309" i="311"/>
  <c r="E309" i="311"/>
  <c r="D309" i="311"/>
  <c r="C309" i="311"/>
  <c r="B309" i="311"/>
  <c r="M291" i="311"/>
  <c r="L291" i="311"/>
  <c r="K291" i="311"/>
  <c r="J291" i="311"/>
  <c r="I291" i="311"/>
  <c r="H291" i="311"/>
  <c r="G291" i="311"/>
  <c r="F291" i="311"/>
  <c r="E291" i="311"/>
  <c r="D291" i="311"/>
  <c r="C291" i="311"/>
  <c r="B291" i="311"/>
  <c r="M284" i="311"/>
  <c r="L284" i="311"/>
  <c r="K284" i="311"/>
  <c r="J284" i="311"/>
  <c r="I284" i="311"/>
  <c r="H284" i="311"/>
  <c r="G284" i="311"/>
  <c r="F284" i="311"/>
  <c r="E284" i="311"/>
  <c r="D284" i="311"/>
  <c r="C284" i="311"/>
  <c r="B284" i="311"/>
  <c r="M278" i="311"/>
  <c r="L278" i="311"/>
  <c r="K278" i="311"/>
  <c r="J278" i="311"/>
  <c r="I278" i="311"/>
  <c r="H278" i="311"/>
  <c r="G278" i="311"/>
  <c r="F278" i="311"/>
  <c r="E278" i="311"/>
  <c r="D278" i="311"/>
  <c r="C278" i="311"/>
  <c r="B278" i="311"/>
  <c r="M272" i="311"/>
  <c r="L272" i="311"/>
  <c r="K272" i="311"/>
  <c r="J272" i="311"/>
  <c r="I272" i="311"/>
  <c r="H272" i="311"/>
  <c r="G272" i="311"/>
  <c r="F272" i="311"/>
  <c r="E272" i="311"/>
  <c r="D272" i="311"/>
  <c r="C272" i="311"/>
  <c r="B272" i="311"/>
  <c r="M265" i="311"/>
  <c r="L265" i="311"/>
  <c r="K265" i="311"/>
  <c r="J265" i="311"/>
  <c r="I265" i="311"/>
  <c r="H265" i="311"/>
  <c r="G265" i="311"/>
  <c r="F265" i="311"/>
  <c r="E265" i="311"/>
  <c r="D265" i="311"/>
  <c r="C265" i="311"/>
  <c r="B265" i="311"/>
  <c r="M259" i="311"/>
  <c r="L259" i="311"/>
  <c r="K259" i="311"/>
  <c r="J259" i="311"/>
  <c r="I259" i="311"/>
  <c r="H259" i="311"/>
  <c r="G259" i="311"/>
  <c r="F259" i="311"/>
  <c r="E259" i="311"/>
  <c r="D259" i="311"/>
  <c r="C259" i="311"/>
  <c r="B259" i="311"/>
  <c r="M248" i="311"/>
  <c r="L248" i="311"/>
  <c r="K248" i="311"/>
  <c r="J248" i="311"/>
  <c r="I248" i="311"/>
  <c r="H248" i="311"/>
  <c r="G248" i="311"/>
  <c r="F248" i="311"/>
  <c r="E248" i="311"/>
  <c r="M243" i="311"/>
  <c r="L243" i="311"/>
  <c r="K243" i="311"/>
  <c r="J243" i="311"/>
  <c r="I243" i="311"/>
  <c r="H243" i="311"/>
  <c r="G243" i="311"/>
  <c r="F243" i="311"/>
  <c r="E243" i="311"/>
  <c r="D243" i="311"/>
  <c r="C243" i="311"/>
  <c r="B243" i="311"/>
  <c r="M231" i="311"/>
  <c r="L231" i="311"/>
  <c r="K231" i="311"/>
  <c r="J231" i="311"/>
  <c r="I231" i="311"/>
  <c r="H231" i="311"/>
  <c r="G231" i="311"/>
  <c r="F231" i="311"/>
  <c r="E231" i="311"/>
  <c r="D231" i="311"/>
  <c r="C231" i="311"/>
  <c r="B231" i="311"/>
  <c r="M202" i="311"/>
  <c r="L202" i="311"/>
  <c r="K202" i="311"/>
  <c r="J202" i="311"/>
  <c r="I202" i="311"/>
  <c r="H202" i="311"/>
  <c r="G202" i="311"/>
  <c r="F202" i="311"/>
  <c r="E202" i="311"/>
  <c r="D202" i="311"/>
  <c r="C202" i="311"/>
  <c r="B202" i="311"/>
  <c r="M193" i="311"/>
  <c r="L193" i="311"/>
  <c r="K193" i="311"/>
  <c r="J193" i="311"/>
  <c r="I193" i="311"/>
  <c r="H193" i="311"/>
  <c r="G193" i="311"/>
  <c r="F193" i="311"/>
  <c r="E193" i="311"/>
  <c r="D193" i="311"/>
  <c r="C193" i="311"/>
  <c r="B193" i="311"/>
  <c r="M180" i="311"/>
  <c r="L180" i="311"/>
  <c r="K180" i="311"/>
  <c r="J180" i="311"/>
  <c r="I180" i="311"/>
  <c r="H180" i="311"/>
  <c r="G180" i="311"/>
  <c r="F180" i="311"/>
  <c r="E180" i="311"/>
  <c r="D180" i="311"/>
  <c r="C180" i="311"/>
  <c r="B180" i="311"/>
  <c r="M176" i="311"/>
  <c r="L176" i="311"/>
  <c r="K176" i="311"/>
  <c r="J176" i="311"/>
  <c r="I176" i="311"/>
  <c r="H176" i="311"/>
  <c r="G176" i="311"/>
  <c r="F176" i="311"/>
  <c r="E176" i="311"/>
  <c r="D176" i="311"/>
  <c r="C176" i="311"/>
  <c r="B176" i="311"/>
  <c r="M172" i="311"/>
  <c r="L172" i="311"/>
  <c r="K172" i="311"/>
  <c r="J172" i="311"/>
  <c r="I172" i="311"/>
  <c r="H172" i="311"/>
  <c r="G172" i="311"/>
  <c r="F172" i="311"/>
  <c r="E172" i="311"/>
  <c r="D172" i="311"/>
  <c r="C172" i="311"/>
  <c r="B172" i="311"/>
  <c r="M162" i="311"/>
  <c r="L162" i="311"/>
  <c r="K162" i="311"/>
  <c r="J162" i="311"/>
  <c r="I162" i="311"/>
  <c r="H162" i="311"/>
  <c r="G162" i="311"/>
  <c r="F162" i="311"/>
  <c r="E162" i="311"/>
  <c r="D162" i="311"/>
  <c r="C162" i="311"/>
  <c r="B162" i="311"/>
  <c r="M155" i="311"/>
  <c r="L155" i="311"/>
  <c r="K155" i="311"/>
  <c r="J155" i="311"/>
  <c r="I155" i="311"/>
  <c r="H155" i="311"/>
  <c r="G155" i="311"/>
  <c r="F155" i="311"/>
  <c r="E155" i="311"/>
  <c r="D155" i="311"/>
  <c r="C155" i="311"/>
  <c r="B155" i="311"/>
  <c r="M148" i="311"/>
  <c r="L148" i="311"/>
  <c r="K148" i="311"/>
  <c r="J148" i="311"/>
  <c r="I148" i="311"/>
  <c r="H148" i="311"/>
  <c r="G148" i="311"/>
  <c r="F148" i="311"/>
  <c r="E148" i="311"/>
  <c r="D148" i="311"/>
  <c r="C148" i="311"/>
  <c r="B148" i="311"/>
  <c r="M142" i="311"/>
  <c r="L142" i="311"/>
  <c r="K142" i="311"/>
  <c r="J142" i="311"/>
  <c r="I142" i="311"/>
  <c r="H142" i="311"/>
  <c r="G142" i="311"/>
  <c r="F142" i="311"/>
  <c r="E142" i="311"/>
  <c r="D142" i="311"/>
  <c r="C142" i="311"/>
  <c r="B142" i="311"/>
  <c r="M135" i="311"/>
  <c r="L135" i="311"/>
  <c r="K135" i="311"/>
  <c r="J135" i="311"/>
  <c r="I135" i="311"/>
  <c r="H135" i="311"/>
  <c r="G135" i="311"/>
  <c r="F135" i="311"/>
  <c r="E135" i="311"/>
  <c r="D135" i="311"/>
  <c r="C135" i="311"/>
  <c r="B135" i="311"/>
  <c r="M128" i="311"/>
  <c r="L128" i="311"/>
  <c r="K128" i="311"/>
  <c r="J128" i="311"/>
  <c r="I128" i="311"/>
  <c r="H128" i="311"/>
  <c r="G128" i="311"/>
  <c r="F128" i="311"/>
  <c r="E128" i="311"/>
  <c r="D128" i="311"/>
  <c r="C128" i="311"/>
  <c r="B128" i="311"/>
  <c r="M123" i="311"/>
  <c r="L123" i="311"/>
  <c r="K123" i="311"/>
  <c r="J123" i="311"/>
  <c r="I123" i="311"/>
  <c r="H123" i="311"/>
  <c r="G123" i="311"/>
  <c r="F123" i="311"/>
  <c r="E123" i="311"/>
  <c r="D123" i="311"/>
  <c r="C123" i="311"/>
  <c r="B123" i="311"/>
  <c r="M118" i="311"/>
  <c r="L118" i="311"/>
  <c r="K118" i="311"/>
  <c r="J118" i="311"/>
  <c r="I118" i="311"/>
  <c r="H118" i="311"/>
  <c r="G118" i="311"/>
  <c r="F118" i="311"/>
  <c r="E118" i="311"/>
  <c r="D118" i="311"/>
  <c r="C118" i="311"/>
  <c r="B118" i="311"/>
  <c r="M80" i="311"/>
  <c r="L80" i="311"/>
  <c r="K80" i="311"/>
  <c r="J80" i="311"/>
  <c r="I80" i="311"/>
  <c r="H80" i="311"/>
  <c r="G80" i="311"/>
  <c r="F80" i="311"/>
  <c r="E80" i="311"/>
  <c r="D80" i="311"/>
  <c r="C80" i="311"/>
  <c r="B80" i="311"/>
  <c r="M76" i="311"/>
  <c r="L76" i="311"/>
  <c r="K76" i="311"/>
  <c r="J76" i="311"/>
  <c r="I76" i="311"/>
  <c r="H76" i="311"/>
  <c r="G76" i="311"/>
  <c r="F76" i="311"/>
  <c r="E76" i="311"/>
  <c r="D76" i="311"/>
  <c r="C76" i="311"/>
  <c r="B76" i="311"/>
  <c r="M62" i="311"/>
  <c r="L62" i="311"/>
  <c r="K62" i="311"/>
  <c r="J62" i="311"/>
  <c r="I62" i="311"/>
  <c r="H62" i="311"/>
  <c r="G62" i="311"/>
  <c r="F62" i="311"/>
  <c r="E62" i="311"/>
  <c r="D62" i="311"/>
  <c r="C62" i="311"/>
  <c r="B62" i="311"/>
  <c r="M50" i="311"/>
  <c r="L50" i="311"/>
  <c r="K50" i="311"/>
  <c r="J50" i="311"/>
  <c r="I50" i="311"/>
  <c r="H50" i="311"/>
  <c r="G50" i="311"/>
  <c r="F50" i="311"/>
  <c r="E50" i="311"/>
  <c r="D50" i="311"/>
  <c r="C50" i="311"/>
  <c r="B50" i="311"/>
  <c r="M43" i="311"/>
  <c r="L43" i="311"/>
  <c r="K43" i="311"/>
  <c r="J43" i="311"/>
  <c r="I43" i="311"/>
  <c r="H43" i="311"/>
  <c r="G43" i="311"/>
  <c r="F43" i="311"/>
  <c r="E43" i="311"/>
  <c r="D43" i="311"/>
  <c r="C43" i="311"/>
  <c r="C248" i="311" s="1"/>
  <c r="B43" i="311"/>
  <c r="M38" i="311"/>
  <c r="L38" i="311"/>
  <c r="K38" i="311"/>
  <c r="J38" i="311"/>
  <c r="I38" i="311"/>
  <c r="H38" i="311"/>
  <c r="G38" i="311"/>
  <c r="F38" i="311"/>
  <c r="E38" i="311"/>
  <c r="D38" i="311"/>
  <c r="C38" i="311"/>
  <c r="B38" i="311"/>
  <c r="M26" i="311"/>
  <c r="L26" i="311"/>
  <c r="K26" i="311"/>
  <c r="J26" i="311"/>
  <c r="I26" i="311"/>
  <c r="H26" i="311"/>
  <c r="G26" i="311"/>
  <c r="F26" i="311"/>
  <c r="E26" i="311"/>
  <c r="D26" i="311"/>
  <c r="C26" i="311"/>
  <c r="B26" i="311"/>
  <c r="M23" i="311"/>
  <c r="L23" i="311"/>
  <c r="K23" i="311"/>
  <c r="J23" i="311"/>
  <c r="I23" i="311"/>
  <c r="H23" i="311"/>
  <c r="G23" i="311"/>
  <c r="F23" i="311"/>
  <c r="E23" i="311"/>
  <c r="D23" i="311"/>
  <c r="C23" i="311"/>
  <c r="B23" i="311"/>
  <c r="M9" i="311"/>
  <c r="L9" i="311"/>
  <c r="K9" i="311"/>
  <c r="J9" i="311"/>
  <c r="I9" i="311"/>
  <c r="H9" i="311"/>
  <c r="G9" i="311"/>
  <c r="F9" i="311"/>
  <c r="E9" i="311"/>
  <c r="D9" i="311"/>
  <c r="C9" i="311"/>
  <c r="B9" i="311"/>
  <c r="J12" i="276"/>
  <c r="K43" i="39"/>
  <c r="K44" i="39" s="1"/>
  <c r="X44" i="261"/>
  <c r="AB44" i="261"/>
  <c r="AB48" i="261" s="1"/>
  <c r="AA46" i="261"/>
  <c r="Z44" i="261"/>
  <c r="Z48" i="261" s="1"/>
  <c r="AA43" i="261"/>
  <c r="AA42" i="261"/>
  <c r="AA41" i="261"/>
  <c r="AA40" i="261"/>
  <c r="AA39" i="261"/>
  <c r="AA38" i="261"/>
  <c r="AA37" i="261"/>
  <c r="AA36" i="261"/>
  <c r="AA35" i="261"/>
  <c r="AA34" i="261"/>
  <c r="AA33" i="261"/>
  <c r="AA31" i="261"/>
  <c r="AA29" i="261"/>
  <c r="AA28" i="261"/>
  <c r="AA26" i="261"/>
  <c r="AA27" i="261"/>
  <c r="AA24" i="261"/>
  <c r="AA23" i="261"/>
  <c r="AA22" i="261"/>
  <c r="AA21" i="261"/>
  <c r="AA20" i="261"/>
  <c r="AA18" i="261"/>
  <c r="AA17" i="261"/>
  <c r="AA16" i="261"/>
  <c r="AA14" i="261"/>
  <c r="AA13" i="261"/>
  <c r="AA12" i="261"/>
  <c r="AA11" i="261"/>
  <c r="AA10" i="261"/>
  <c r="AA9" i="261"/>
  <c r="AA8" i="261"/>
  <c r="AA7" i="261"/>
  <c r="AA6" i="261"/>
  <c r="AA5" i="261"/>
  <c r="Y46" i="261"/>
  <c r="Y43" i="261"/>
  <c r="Y42" i="261"/>
  <c r="Y41" i="261"/>
  <c r="Y40" i="261"/>
  <c r="Y39" i="261"/>
  <c r="Y38" i="261"/>
  <c r="Y37" i="261"/>
  <c r="Y36" i="261"/>
  <c r="Y35" i="261"/>
  <c r="Y34" i="261"/>
  <c r="Y33" i="261"/>
  <c r="Y31" i="261"/>
  <c r="Y29" i="261"/>
  <c r="Y28" i="261"/>
  <c r="Y26" i="261"/>
  <c r="Y27" i="261"/>
  <c r="Y24" i="261"/>
  <c r="Y23" i="261"/>
  <c r="Y22" i="261"/>
  <c r="Y21" i="261"/>
  <c r="Y20" i="261"/>
  <c r="Y18" i="261"/>
  <c r="Y17" i="261"/>
  <c r="Y16" i="261"/>
  <c r="Y14" i="261"/>
  <c r="Y13" i="261"/>
  <c r="Y12" i="261"/>
  <c r="Y11" i="261"/>
  <c r="Y10" i="261"/>
  <c r="Y9" i="261"/>
  <c r="Y8" i="261"/>
  <c r="Y7" i="261"/>
  <c r="Y6" i="261"/>
  <c r="Y5" i="261"/>
  <c r="D106" i="186"/>
  <c r="C106" i="186"/>
  <c r="B106" i="186"/>
  <c r="D105" i="186"/>
  <c r="C105" i="186"/>
  <c r="B105" i="186"/>
  <c r="D104" i="186"/>
  <c r="C104" i="186"/>
  <c r="B104" i="186"/>
  <c r="D103" i="186"/>
  <c r="C103" i="186"/>
  <c r="B103" i="186"/>
  <c r="D97" i="186"/>
  <c r="C97" i="186"/>
  <c r="B97" i="186"/>
  <c r="D96" i="186"/>
  <c r="C96" i="186"/>
  <c r="B96" i="186"/>
  <c r="D93" i="186"/>
  <c r="C93" i="186"/>
  <c r="B93" i="186"/>
  <c r="D92" i="186"/>
  <c r="C92" i="186"/>
  <c r="B92" i="186"/>
  <c r="D91" i="186"/>
  <c r="C91" i="186"/>
  <c r="B91" i="186"/>
  <c r="D90" i="186"/>
  <c r="C90" i="186"/>
  <c r="B90" i="186"/>
  <c r="D89" i="186"/>
  <c r="C89" i="186"/>
  <c r="B89" i="186"/>
  <c r="D86" i="186"/>
  <c r="C86" i="186"/>
  <c r="B86" i="186"/>
  <c r="D85" i="186"/>
  <c r="C85" i="186"/>
  <c r="B85" i="186"/>
  <c r="C46" i="186"/>
  <c r="D19" i="186"/>
  <c r="C19" i="186"/>
  <c r="B19" i="186"/>
  <c r="D18" i="186"/>
  <c r="C18" i="186"/>
  <c r="B18" i="186"/>
  <c r="D17" i="186"/>
  <c r="C17" i="186"/>
  <c r="B17" i="186"/>
  <c r="F8" i="186"/>
  <c r="G8" i="186"/>
  <c r="H8" i="186"/>
  <c r="F9" i="186"/>
  <c r="G9" i="186"/>
  <c r="H9" i="186"/>
  <c r="F10" i="186"/>
  <c r="G10" i="186"/>
  <c r="H10" i="186"/>
  <c r="F11" i="186"/>
  <c r="G11" i="186"/>
  <c r="H11" i="186"/>
  <c r="F12" i="186"/>
  <c r="G12" i="186"/>
  <c r="H12" i="186"/>
  <c r="F13" i="186"/>
  <c r="G13" i="186"/>
  <c r="H13" i="186"/>
  <c r="F14" i="186"/>
  <c r="G14" i="186"/>
  <c r="H14" i="186"/>
  <c r="B8" i="186"/>
  <c r="C8" i="186"/>
  <c r="D8" i="186"/>
  <c r="B9" i="186"/>
  <c r="C9" i="186"/>
  <c r="D9" i="186"/>
  <c r="B10" i="186"/>
  <c r="C10" i="186"/>
  <c r="D10" i="186"/>
  <c r="B11" i="186"/>
  <c r="C11" i="186"/>
  <c r="D11" i="186"/>
  <c r="B12" i="186"/>
  <c r="C12" i="186"/>
  <c r="D12" i="186"/>
  <c r="B13" i="186"/>
  <c r="C13" i="186"/>
  <c r="D13" i="186"/>
  <c r="B14" i="186"/>
  <c r="C14" i="186"/>
  <c r="D14" i="186"/>
  <c r="H7" i="186"/>
  <c r="G7" i="186"/>
  <c r="F7" i="186"/>
  <c r="D7" i="186"/>
  <c r="C7" i="186"/>
  <c r="B7" i="186"/>
  <c r="W51" i="186"/>
  <c r="V51" i="186"/>
  <c r="U51" i="186"/>
  <c r="M51" i="186"/>
  <c r="L51" i="186"/>
  <c r="K51" i="186"/>
  <c r="X51" i="185"/>
  <c r="I51" i="185"/>
  <c r="N51" i="185"/>
  <c r="T51" i="185" s="1"/>
  <c r="H107" i="185"/>
  <c r="G107" i="185"/>
  <c r="F107" i="185"/>
  <c r="B107" i="185"/>
  <c r="C107" i="185"/>
  <c r="D107" i="185"/>
  <c r="B98" i="185"/>
  <c r="C98" i="185"/>
  <c r="D98" i="185"/>
  <c r="F98" i="185"/>
  <c r="G98" i="185"/>
  <c r="H98" i="185"/>
  <c r="B94" i="185"/>
  <c r="C94" i="185"/>
  <c r="D94" i="185"/>
  <c r="F94" i="185"/>
  <c r="G94" i="185"/>
  <c r="H94" i="185"/>
  <c r="B87" i="185"/>
  <c r="C87" i="185"/>
  <c r="D87" i="185"/>
  <c r="F87" i="185"/>
  <c r="G87" i="185"/>
  <c r="H87" i="185"/>
  <c r="B83" i="185"/>
  <c r="C83" i="185"/>
  <c r="D83" i="185"/>
  <c r="F83" i="185"/>
  <c r="G83" i="185"/>
  <c r="H83" i="185"/>
  <c r="B73" i="185"/>
  <c r="C73" i="185"/>
  <c r="D73" i="185"/>
  <c r="F73" i="185"/>
  <c r="G73" i="185"/>
  <c r="H73" i="185"/>
  <c r="E68" i="185"/>
  <c r="H54" i="185"/>
  <c r="G54" i="185"/>
  <c r="F54" i="185"/>
  <c r="D54" i="185"/>
  <c r="C54" i="185"/>
  <c r="B54" i="185"/>
  <c r="B46" i="185"/>
  <c r="C46" i="185"/>
  <c r="D46" i="185"/>
  <c r="F46" i="185"/>
  <c r="G46" i="185"/>
  <c r="H46" i="185"/>
  <c r="B33" i="185"/>
  <c r="B38" i="185" s="1"/>
  <c r="C33" i="185"/>
  <c r="C38" i="185" s="1"/>
  <c r="D33" i="185"/>
  <c r="D38" i="185" s="1"/>
  <c r="F33" i="185"/>
  <c r="F38" i="185" s="1"/>
  <c r="G33" i="185"/>
  <c r="G38" i="185" s="1"/>
  <c r="H33" i="185"/>
  <c r="H38" i="185" s="1"/>
  <c r="H20" i="185"/>
  <c r="G20" i="185"/>
  <c r="F20" i="185"/>
  <c r="B20" i="185"/>
  <c r="C20" i="185"/>
  <c r="D20" i="185"/>
  <c r="H15" i="185"/>
  <c r="G15" i="185"/>
  <c r="F15" i="185"/>
  <c r="D15" i="185"/>
  <c r="C15" i="185"/>
  <c r="B15" i="185"/>
  <c r="I68" i="185"/>
  <c r="O68" i="185" s="1"/>
  <c r="C99" i="185"/>
  <c r="E106" i="185"/>
  <c r="E105" i="185"/>
  <c r="E104" i="185"/>
  <c r="E103" i="185"/>
  <c r="I106" i="185"/>
  <c r="I105" i="185"/>
  <c r="I104" i="185"/>
  <c r="I103" i="185"/>
  <c r="E97" i="185"/>
  <c r="J97" i="185" s="1"/>
  <c r="E96" i="185"/>
  <c r="E93" i="185"/>
  <c r="E92" i="185"/>
  <c r="E91" i="185"/>
  <c r="J91" i="185" s="1"/>
  <c r="E90" i="185"/>
  <c r="E89" i="185"/>
  <c r="E86" i="185"/>
  <c r="E85" i="185"/>
  <c r="J85" i="185" s="1"/>
  <c r="E82" i="185"/>
  <c r="E81" i="185"/>
  <c r="I97" i="185"/>
  <c r="I96" i="185"/>
  <c r="I93" i="185"/>
  <c r="I92" i="185"/>
  <c r="I91" i="185"/>
  <c r="I90" i="185"/>
  <c r="I89" i="185"/>
  <c r="I86" i="185"/>
  <c r="J86" i="185" s="1"/>
  <c r="I85" i="185"/>
  <c r="I82" i="185"/>
  <c r="I81" i="185"/>
  <c r="E72" i="185"/>
  <c r="E71" i="185"/>
  <c r="E73" i="185" s="1"/>
  <c r="E67" i="185"/>
  <c r="E66" i="185"/>
  <c r="J66" i="185" s="1"/>
  <c r="E65" i="185"/>
  <c r="E64" i="185"/>
  <c r="E57" i="185"/>
  <c r="E56" i="185"/>
  <c r="E61" i="185" s="1"/>
  <c r="E53" i="185"/>
  <c r="E52" i="185"/>
  <c r="E50" i="185"/>
  <c r="E49" i="185"/>
  <c r="J49" i="185" s="1"/>
  <c r="E48" i="185"/>
  <c r="E45" i="185"/>
  <c r="E46" i="185" s="1"/>
  <c r="I72" i="185"/>
  <c r="J72" i="185" s="1"/>
  <c r="I71" i="185"/>
  <c r="J71" i="185" s="1"/>
  <c r="I67" i="185"/>
  <c r="I66" i="185"/>
  <c r="I65" i="185"/>
  <c r="J65" i="185" s="1"/>
  <c r="I64" i="185"/>
  <c r="I69" i="185" s="1"/>
  <c r="I57" i="185"/>
  <c r="I56" i="185"/>
  <c r="I61" i="185" s="1"/>
  <c r="I53" i="185"/>
  <c r="I52" i="185"/>
  <c r="I50" i="185"/>
  <c r="I49" i="185"/>
  <c r="I48" i="185"/>
  <c r="I45" i="185"/>
  <c r="I46" i="185" s="1"/>
  <c r="E37" i="185"/>
  <c r="E35" i="185"/>
  <c r="E32" i="185"/>
  <c r="E31" i="185"/>
  <c r="E30" i="185"/>
  <c r="E29" i="185"/>
  <c r="E28" i="185"/>
  <c r="I37" i="185"/>
  <c r="I35" i="185"/>
  <c r="I32" i="185"/>
  <c r="I31" i="185"/>
  <c r="J31" i="185" s="1"/>
  <c r="I30" i="185"/>
  <c r="I29" i="185"/>
  <c r="I28" i="185"/>
  <c r="E19" i="185"/>
  <c r="E18" i="185"/>
  <c r="E17" i="185"/>
  <c r="E14" i="185"/>
  <c r="E13" i="185"/>
  <c r="E12" i="185"/>
  <c r="E11" i="185"/>
  <c r="E10" i="185"/>
  <c r="E9" i="185"/>
  <c r="E8" i="185"/>
  <c r="E7" i="185"/>
  <c r="I19" i="185"/>
  <c r="J19" i="185"/>
  <c r="I18" i="185"/>
  <c r="J18" i="185" s="1"/>
  <c r="I17" i="185"/>
  <c r="I14" i="185"/>
  <c r="I13" i="185"/>
  <c r="I12" i="185"/>
  <c r="I11" i="185"/>
  <c r="I10" i="185"/>
  <c r="I9" i="185"/>
  <c r="I8" i="185"/>
  <c r="I7" i="185"/>
  <c r="S105" i="185"/>
  <c r="X68" i="185"/>
  <c r="S68" i="185"/>
  <c r="W68" i="186"/>
  <c r="V68" i="186"/>
  <c r="U68" i="186"/>
  <c r="M68" i="186"/>
  <c r="L68" i="186"/>
  <c r="K68" i="186"/>
  <c r="W64" i="186"/>
  <c r="V64" i="186"/>
  <c r="U64" i="186"/>
  <c r="M64" i="186"/>
  <c r="L64" i="186"/>
  <c r="K64" i="186"/>
  <c r="X64" i="185"/>
  <c r="S64" i="185"/>
  <c r="N64" i="185"/>
  <c r="J104" i="185"/>
  <c r="J90" i="185"/>
  <c r="J28" i="185"/>
  <c r="J103" i="185"/>
  <c r="J45" i="185"/>
  <c r="J14" i="185"/>
  <c r="E87" i="185"/>
  <c r="T68" i="185"/>
  <c r="S32" i="310"/>
  <c r="R32" i="310"/>
  <c r="Q32" i="310"/>
  <c r="P32" i="310"/>
  <c r="O32" i="310"/>
  <c r="N32" i="310"/>
  <c r="M32" i="310"/>
  <c r="L32" i="310"/>
  <c r="K32" i="310"/>
  <c r="J32" i="310"/>
  <c r="I32" i="310"/>
  <c r="H32" i="310"/>
  <c r="G32" i="310"/>
  <c r="F32" i="310"/>
  <c r="E32" i="310"/>
  <c r="D32" i="310"/>
  <c r="C32" i="310"/>
  <c r="B32" i="310"/>
  <c r="U31" i="310"/>
  <c r="T31" i="310"/>
  <c r="U30" i="310"/>
  <c r="T30" i="310"/>
  <c r="U29" i="310"/>
  <c r="T29" i="310"/>
  <c r="U27" i="310"/>
  <c r="T27" i="310"/>
  <c r="U26" i="310"/>
  <c r="T26" i="310"/>
  <c r="U25" i="310"/>
  <c r="T25" i="310"/>
  <c r="U24" i="310"/>
  <c r="T24" i="310"/>
  <c r="S23" i="310"/>
  <c r="S28" i="310" s="1"/>
  <c r="S33" i="310" s="1"/>
  <c r="R23" i="310"/>
  <c r="R28" i="310" s="1"/>
  <c r="R33" i="310" s="1"/>
  <c r="Q23" i="310"/>
  <c r="Q28" i="310" s="1"/>
  <c r="P23" i="310"/>
  <c r="P28" i="310" s="1"/>
  <c r="O23" i="310"/>
  <c r="O28" i="310" s="1"/>
  <c r="N23" i="310"/>
  <c r="N28" i="310" s="1"/>
  <c r="M23" i="310"/>
  <c r="M28" i="310" s="1"/>
  <c r="M33" i="310" s="1"/>
  <c r="L23" i="310"/>
  <c r="L28" i="310" s="1"/>
  <c r="L33" i="310" s="1"/>
  <c r="K23" i="310"/>
  <c r="K28" i="310" s="1"/>
  <c r="J23" i="310"/>
  <c r="J28" i="310" s="1"/>
  <c r="I23" i="310"/>
  <c r="I28" i="310" s="1"/>
  <c r="H23" i="310"/>
  <c r="H28" i="310" s="1"/>
  <c r="G23" i="310"/>
  <c r="G28" i="310" s="1"/>
  <c r="F23" i="310"/>
  <c r="F28" i="310" s="1"/>
  <c r="E23" i="310"/>
  <c r="E28" i="310" s="1"/>
  <c r="D23" i="310"/>
  <c r="D28" i="310" s="1"/>
  <c r="C23" i="310"/>
  <c r="C28" i="310" s="1"/>
  <c r="B23" i="310"/>
  <c r="B28" i="310" s="1"/>
  <c r="U22" i="310"/>
  <c r="T22" i="310"/>
  <c r="U21" i="310"/>
  <c r="U23" i="310" s="1"/>
  <c r="T21" i="310"/>
  <c r="S18" i="310"/>
  <c r="R18" i="310"/>
  <c r="Q18" i="310"/>
  <c r="P18" i="310"/>
  <c r="O18" i="310"/>
  <c r="N18" i="310"/>
  <c r="M18" i="310"/>
  <c r="L18" i="310"/>
  <c r="K18" i="310"/>
  <c r="J18" i="310"/>
  <c r="I18" i="310"/>
  <c r="H18" i="310"/>
  <c r="G18" i="310"/>
  <c r="F18" i="310"/>
  <c r="E18" i="310"/>
  <c r="D18" i="310"/>
  <c r="C18" i="310"/>
  <c r="B18" i="310"/>
  <c r="U17" i="310"/>
  <c r="T17" i="310"/>
  <c r="U16" i="310"/>
  <c r="T16" i="310"/>
  <c r="U15" i="310"/>
  <c r="U18" i="310" s="1"/>
  <c r="T15" i="310"/>
  <c r="U13" i="310"/>
  <c r="T13" i="310"/>
  <c r="U12" i="310"/>
  <c r="T12" i="310"/>
  <c r="U11" i="310"/>
  <c r="T11" i="310"/>
  <c r="U10" i="310"/>
  <c r="T10" i="310"/>
  <c r="S9" i="310"/>
  <c r="S14" i="310" s="1"/>
  <c r="S19" i="310" s="1"/>
  <c r="R9" i="310"/>
  <c r="R14" i="310" s="1"/>
  <c r="R19" i="310" s="1"/>
  <c r="Q9" i="310"/>
  <c r="Q14" i="310" s="1"/>
  <c r="P9" i="310"/>
  <c r="P14" i="310" s="1"/>
  <c r="O9" i="310"/>
  <c r="O14" i="310" s="1"/>
  <c r="N9" i="310"/>
  <c r="N14" i="310" s="1"/>
  <c r="M9" i="310"/>
  <c r="M14" i="310" s="1"/>
  <c r="L9" i="310"/>
  <c r="L14" i="310" s="1"/>
  <c r="L19" i="310" s="1"/>
  <c r="K9" i="310"/>
  <c r="K14" i="310" s="1"/>
  <c r="J9" i="310"/>
  <c r="J14" i="310" s="1"/>
  <c r="I9" i="310"/>
  <c r="I14" i="310" s="1"/>
  <c r="H9" i="310"/>
  <c r="H14" i="310" s="1"/>
  <c r="G9" i="310"/>
  <c r="G14" i="310" s="1"/>
  <c r="F9" i="310"/>
  <c r="F14" i="310" s="1"/>
  <c r="E9" i="310"/>
  <c r="E14" i="310" s="1"/>
  <c r="D9" i="310"/>
  <c r="D14" i="310" s="1"/>
  <c r="C9" i="310"/>
  <c r="C14" i="310" s="1"/>
  <c r="B9" i="310"/>
  <c r="B14" i="310" s="1"/>
  <c r="U8" i="310"/>
  <c r="T8" i="310"/>
  <c r="U7" i="310"/>
  <c r="T7" i="310"/>
  <c r="M34" i="184"/>
  <c r="L34" i="184"/>
  <c r="K34" i="184"/>
  <c r="H34" i="184"/>
  <c r="G34" i="184"/>
  <c r="F34" i="184"/>
  <c r="D34" i="184"/>
  <c r="C34" i="184"/>
  <c r="B34" i="184"/>
  <c r="M33" i="184"/>
  <c r="L33" i="184"/>
  <c r="K33" i="184"/>
  <c r="H33" i="184"/>
  <c r="G33" i="184"/>
  <c r="F33" i="184"/>
  <c r="D33" i="184"/>
  <c r="C33" i="184"/>
  <c r="B33" i="184"/>
  <c r="N34" i="183"/>
  <c r="T34" i="183" s="1"/>
  <c r="N33" i="183"/>
  <c r="T33" i="183" s="1"/>
  <c r="I34" i="183"/>
  <c r="O34" i="183" s="1"/>
  <c r="I33" i="183"/>
  <c r="E34" i="183"/>
  <c r="E33" i="183"/>
  <c r="J33" i="183" s="1"/>
  <c r="K30" i="161"/>
  <c r="L30" i="161"/>
  <c r="M30" i="161"/>
  <c r="N30" i="161" s="1"/>
  <c r="K31" i="161"/>
  <c r="L31" i="161"/>
  <c r="M31" i="161"/>
  <c r="K32" i="161"/>
  <c r="L32" i="161"/>
  <c r="M32" i="161"/>
  <c r="K33" i="161"/>
  <c r="L33" i="161"/>
  <c r="M33" i="161"/>
  <c r="K34" i="161"/>
  <c r="L34" i="161"/>
  <c r="M34" i="161"/>
  <c r="K35" i="161"/>
  <c r="L35" i="161"/>
  <c r="M35" i="161"/>
  <c r="K36" i="161"/>
  <c r="N36" i="161" s="1"/>
  <c r="L36" i="161"/>
  <c r="M36" i="161"/>
  <c r="F30" i="161"/>
  <c r="G30" i="161"/>
  <c r="H30" i="161"/>
  <c r="F31" i="161"/>
  <c r="G31" i="161"/>
  <c r="H31" i="161"/>
  <c r="F32" i="161"/>
  <c r="G32" i="161"/>
  <c r="H32" i="161"/>
  <c r="F33" i="161"/>
  <c r="G33" i="161"/>
  <c r="H33" i="161"/>
  <c r="F34" i="161"/>
  <c r="G34" i="161"/>
  <c r="I34" i="161" s="1"/>
  <c r="H34" i="161"/>
  <c r="F35" i="161"/>
  <c r="G35" i="161"/>
  <c r="H35" i="161"/>
  <c r="F36" i="161"/>
  <c r="G36" i="161"/>
  <c r="H36" i="161"/>
  <c r="D51" i="161"/>
  <c r="E51" i="161" s="1"/>
  <c r="C51" i="161"/>
  <c r="B51" i="161"/>
  <c r="D30" i="161"/>
  <c r="D31" i="161"/>
  <c r="D32" i="161"/>
  <c r="D33" i="161"/>
  <c r="D34" i="161"/>
  <c r="D35" i="161"/>
  <c r="D36" i="161"/>
  <c r="B36" i="161"/>
  <c r="B35" i="161"/>
  <c r="B34" i="161"/>
  <c r="B33" i="161"/>
  <c r="B32" i="161"/>
  <c r="C32" i="161"/>
  <c r="C33" i="161"/>
  <c r="C34" i="161"/>
  <c r="C35" i="161"/>
  <c r="C31" i="161"/>
  <c r="N32" i="161"/>
  <c r="N32" i="160"/>
  <c r="N33" i="160"/>
  <c r="I32" i="160"/>
  <c r="I33" i="160"/>
  <c r="O33" i="160" s="1"/>
  <c r="E32" i="160"/>
  <c r="J32" i="160" s="1"/>
  <c r="E33" i="160"/>
  <c r="Y7" i="239"/>
  <c r="Y8" i="239" s="1"/>
  <c r="Y9" i="239" s="1"/>
  <c r="Y10" i="239" s="1"/>
  <c r="Y11" i="239" s="1"/>
  <c r="Y12" i="239" s="1"/>
  <c r="Y13" i="239" s="1"/>
  <c r="Y14" i="239" s="1"/>
  <c r="S9" i="239"/>
  <c r="N7" i="239"/>
  <c r="O7" i="239" s="1"/>
  <c r="I42" i="50"/>
  <c r="I46" i="50" s="1"/>
  <c r="H42" i="50"/>
  <c r="H46" i="50" s="1"/>
  <c r="G42" i="50"/>
  <c r="G46" i="50" s="1"/>
  <c r="E42" i="50"/>
  <c r="F42" i="50"/>
  <c r="F46" i="50" s="1"/>
  <c r="F3" i="50"/>
  <c r="G3" i="50" s="1"/>
  <c r="H3" i="50" s="1"/>
  <c r="I3" i="50" s="1"/>
  <c r="F3" i="48"/>
  <c r="G3" i="48" s="1"/>
  <c r="H3" i="48" s="1"/>
  <c r="I3" i="48" s="1"/>
  <c r="J3" i="48" s="1"/>
  <c r="F3" i="49"/>
  <c r="G3" i="49" s="1"/>
  <c r="H3" i="49" s="1"/>
  <c r="I3" i="49" s="1"/>
  <c r="S32" i="309"/>
  <c r="R32" i="309"/>
  <c r="Q32" i="309"/>
  <c r="P32" i="309"/>
  <c r="O32" i="309"/>
  <c r="N32" i="309"/>
  <c r="M32" i="309"/>
  <c r="L32" i="309"/>
  <c r="K32" i="309"/>
  <c r="J32" i="309"/>
  <c r="I32" i="309"/>
  <c r="H32" i="309"/>
  <c r="G32" i="309"/>
  <c r="F32" i="309"/>
  <c r="E32" i="309"/>
  <c r="D32" i="309"/>
  <c r="C32" i="309"/>
  <c r="B32" i="309"/>
  <c r="U31" i="309"/>
  <c r="T31" i="309"/>
  <c r="U30" i="309"/>
  <c r="T30" i="309"/>
  <c r="U29" i="309"/>
  <c r="T29" i="309"/>
  <c r="U27" i="309"/>
  <c r="T27" i="309"/>
  <c r="U26" i="309"/>
  <c r="T26" i="309"/>
  <c r="U25" i="309"/>
  <c r="T25" i="309"/>
  <c r="U24" i="309"/>
  <c r="T24" i="309"/>
  <c r="S23" i="309"/>
  <c r="S28" i="309" s="1"/>
  <c r="S33" i="309" s="1"/>
  <c r="R23" i="309"/>
  <c r="R28" i="309" s="1"/>
  <c r="R33" i="309" s="1"/>
  <c r="Q23" i="309"/>
  <c r="Q28" i="309" s="1"/>
  <c r="Q33" i="309" s="1"/>
  <c r="P23" i="309"/>
  <c r="P28" i="309" s="1"/>
  <c r="P33" i="309" s="1"/>
  <c r="O23" i="309"/>
  <c r="O28" i="309" s="1"/>
  <c r="O33" i="309" s="1"/>
  <c r="N23" i="309"/>
  <c r="N28" i="309" s="1"/>
  <c r="N33" i="309" s="1"/>
  <c r="M23" i="309"/>
  <c r="M28" i="309" s="1"/>
  <c r="L23" i="309"/>
  <c r="L28" i="309" s="1"/>
  <c r="L33" i="309" s="1"/>
  <c r="K23" i="309"/>
  <c r="K28" i="309" s="1"/>
  <c r="K33" i="309" s="1"/>
  <c r="J23" i="309"/>
  <c r="J28" i="309" s="1"/>
  <c r="J33" i="309" s="1"/>
  <c r="I23" i="309"/>
  <c r="I28" i="309" s="1"/>
  <c r="H23" i="309"/>
  <c r="H28" i="309" s="1"/>
  <c r="G23" i="309"/>
  <c r="G28" i="309" s="1"/>
  <c r="F23" i="309"/>
  <c r="F28" i="309" s="1"/>
  <c r="E23" i="309"/>
  <c r="E28" i="309" s="1"/>
  <c r="E33" i="309" s="1"/>
  <c r="D23" i="309"/>
  <c r="D28" i="309" s="1"/>
  <c r="D33" i="309" s="1"/>
  <c r="C23" i="309"/>
  <c r="C28" i="309" s="1"/>
  <c r="C33" i="309" s="1"/>
  <c r="B23" i="309"/>
  <c r="B28" i="309" s="1"/>
  <c r="B33" i="309" s="1"/>
  <c r="U22" i="309"/>
  <c r="T22" i="309"/>
  <c r="U21" i="309"/>
  <c r="T21" i="309"/>
  <c r="S18" i="309"/>
  <c r="R18" i="309"/>
  <c r="Q18" i="309"/>
  <c r="P18" i="309"/>
  <c r="O18" i="309"/>
  <c r="N18" i="309"/>
  <c r="M18" i="309"/>
  <c r="L18" i="309"/>
  <c r="K18" i="309"/>
  <c r="J18" i="309"/>
  <c r="I18" i="309"/>
  <c r="H18" i="309"/>
  <c r="G18" i="309"/>
  <c r="F18" i="309"/>
  <c r="E18" i="309"/>
  <c r="D18" i="309"/>
  <c r="C18" i="309"/>
  <c r="B18" i="309"/>
  <c r="U17" i="309"/>
  <c r="T17" i="309"/>
  <c r="U16" i="309"/>
  <c r="T16" i="309"/>
  <c r="U15" i="309"/>
  <c r="T15" i="309"/>
  <c r="U13" i="309"/>
  <c r="T13" i="309"/>
  <c r="U12" i="309"/>
  <c r="T12" i="309"/>
  <c r="U11" i="309"/>
  <c r="T11" i="309"/>
  <c r="U10" i="309"/>
  <c r="T10" i="309"/>
  <c r="S9" i="309"/>
  <c r="S14" i="309" s="1"/>
  <c r="S19" i="309" s="1"/>
  <c r="R9" i="309"/>
  <c r="R14" i="309" s="1"/>
  <c r="R19" i="309" s="1"/>
  <c r="Q9" i="309"/>
  <c r="Q14" i="309" s="1"/>
  <c r="Q19" i="309" s="1"/>
  <c r="P9" i="309"/>
  <c r="P14" i="309" s="1"/>
  <c r="P19" i="309" s="1"/>
  <c r="O9" i="309"/>
  <c r="O14" i="309" s="1"/>
  <c r="O19" i="309" s="1"/>
  <c r="N9" i="309"/>
  <c r="N14" i="309" s="1"/>
  <c r="N19" i="309" s="1"/>
  <c r="M9" i="309"/>
  <c r="M14" i="309" s="1"/>
  <c r="M19" i="309" s="1"/>
  <c r="L9" i="309"/>
  <c r="L14" i="309" s="1"/>
  <c r="L19" i="309" s="1"/>
  <c r="K9" i="309"/>
  <c r="K14" i="309" s="1"/>
  <c r="K19" i="309" s="1"/>
  <c r="J9" i="309"/>
  <c r="J14" i="309" s="1"/>
  <c r="J19" i="309" s="1"/>
  <c r="I9" i="309"/>
  <c r="I14" i="309" s="1"/>
  <c r="I19" i="309" s="1"/>
  <c r="H9" i="309"/>
  <c r="H14" i="309" s="1"/>
  <c r="H19" i="309" s="1"/>
  <c r="G9" i="309"/>
  <c r="G14" i="309" s="1"/>
  <c r="G19" i="309" s="1"/>
  <c r="F9" i="309"/>
  <c r="F14" i="309" s="1"/>
  <c r="F19" i="309" s="1"/>
  <c r="E9" i="309"/>
  <c r="E14" i="309" s="1"/>
  <c r="E19" i="309" s="1"/>
  <c r="D9" i="309"/>
  <c r="D14" i="309" s="1"/>
  <c r="D19" i="309" s="1"/>
  <c r="C9" i="309"/>
  <c r="C14" i="309" s="1"/>
  <c r="C19" i="309" s="1"/>
  <c r="B9" i="309"/>
  <c r="B14" i="309" s="1"/>
  <c r="B19" i="309" s="1"/>
  <c r="U8" i="309"/>
  <c r="T8" i="309"/>
  <c r="U7" i="309"/>
  <c r="T7" i="309"/>
  <c r="H43" i="39"/>
  <c r="H44" i="39" s="1"/>
  <c r="H47" i="39" s="1"/>
  <c r="G43" i="39"/>
  <c r="G44" i="39" s="1"/>
  <c r="G47" i="39" s="1"/>
  <c r="F43" i="39"/>
  <c r="F44" i="39" s="1"/>
  <c r="I12" i="276"/>
  <c r="H12" i="276"/>
  <c r="I51" i="187"/>
  <c r="J51" i="187"/>
  <c r="F25" i="187"/>
  <c r="G25" i="187"/>
  <c r="H25" i="187"/>
  <c r="A27" i="37"/>
  <c r="A29" i="37" s="1"/>
  <c r="A31" i="37" s="1"/>
  <c r="A33" i="37" s="1"/>
  <c r="A35" i="37" s="1"/>
  <c r="C52" i="35"/>
  <c r="C56" i="35" s="1"/>
  <c r="B52" i="35"/>
  <c r="B56" i="35" s="1"/>
  <c r="C53" i="34"/>
  <c r="B53" i="34"/>
  <c r="C53" i="36"/>
  <c r="C57" i="36" s="1"/>
  <c r="B53" i="36"/>
  <c r="B57" i="36" s="1"/>
  <c r="K89" i="273"/>
  <c r="C127" i="196"/>
  <c r="C131" i="196" s="1"/>
  <c r="C48" i="196"/>
  <c r="C42" i="196"/>
  <c r="B127" i="196"/>
  <c r="D127" i="196"/>
  <c r="B57" i="196"/>
  <c r="B65" i="196" s="1"/>
  <c r="B48" i="196"/>
  <c r="B38" i="196"/>
  <c r="B40" i="196" s="1"/>
  <c r="D40" i="196" s="1"/>
  <c r="G32" i="196"/>
  <c r="B24" i="196"/>
  <c r="D24" i="196" s="1"/>
  <c r="B18" i="196"/>
  <c r="D50" i="29"/>
  <c r="D49" i="29"/>
  <c r="G6" i="29"/>
  <c r="C50" i="29"/>
  <c r="C49" i="29"/>
  <c r="C53" i="29" s="1"/>
  <c r="C124" i="159"/>
  <c r="B124" i="159"/>
  <c r="B83" i="159"/>
  <c r="B56" i="159"/>
  <c r="B51" i="159"/>
  <c r="B47" i="159"/>
  <c r="B39" i="159"/>
  <c r="B40" i="159" s="1"/>
  <c r="G33" i="159"/>
  <c r="B25" i="159"/>
  <c r="B21" i="159"/>
  <c r="B24" i="234"/>
  <c r="B18" i="234"/>
  <c r="U5" i="181"/>
  <c r="U13" i="181" s="1"/>
  <c r="T12" i="181"/>
  <c r="T11" i="181"/>
  <c r="T10" i="181"/>
  <c r="T9" i="181"/>
  <c r="T8" i="181"/>
  <c r="T7" i="181"/>
  <c r="T6" i="181"/>
  <c r="T5" i="181"/>
  <c r="S12" i="181"/>
  <c r="S11" i="181"/>
  <c r="S10" i="181"/>
  <c r="S9" i="181"/>
  <c r="S8" i="181"/>
  <c r="S7" i="181"/>
  <c r="S6" i="181"/>
  <c r="S5" i="181"/>
  <c r="B18" i="181"/>
  <c r="B26" i="181" s="1"/>
  <c r="B18" i="27"/>
  <c r="H8" i="21"/>
  <c r="E8" i="21"/>
  <c r="H6" i="21"/>
  <c r="E6" i="21"/>
  <c r="I7" i="183"/>
  <c r="I8" i="183"/>
  <c r="I9" i="183"/>
  <c r="I10" i="183"/>
  <c r="I11" i="183"/>
  <c r="I12" i="183"/>
  <c r="I14" i="183"/>
  <c r="I15" i="183"/>
  <c r="I18" i="183"/>
  <c r="O18" i="183" s="1"/>
  <c r="I19" i="183"/>
  <c r="I20" i="183"/>
  <c r="I21" i="183"/>
  <c r="R13" i="239"/>
  <c r="S11" i="239"/>
  <c r="S7" i="239"/>
  <c r="P13" i="239"/>
  <c r="Q11" i="239"/>
  <c r="N13" i="239"/>
  <c r="O11" i="239"/>
  <c r="G16" i="259"/>
  <c r="G15" i="259"/>
  <c r="G14" i="259"/>
  <c r="B22" i="285"/>
  <c r="B23" i="285" s="1"/>
  <c r="B24" i="285" s="1"/>
  <c r="B25" i="285" s="1"/>
  <c r="B15" i="285"/>
  <c r="B16" i="285" s="1"/>
  <c r="B17" i="285" s="1"/>
  <c r="B18" i="285" s="1"/>
  <c r="B8" i="285"/>
  <c r="B9" i="285" s="1"/>
  <c r="B10" i="285" s="1"/>
  <c r="B11" i="285" s="1"/>
  <c r="Q36" i="281"/>
  <c r="O36" i="281"/>
  <c r="Q34" i="281"/>
  <c r="P34" i="281"/>
  <c r="O34" i="281"/>
  <c r="Q32" i="281"/>
  <c r="P32" i="281"/>
  <c r="O32" i="281"/>
  <c r="Q30" i="281"/>
  <c r="P30" i="281"/>
  <c r="O30" i="281"/>
  <c r="E73" i="183"/>
  <c r="I73" i="183"/>
  <c r="N73" i="183"/>
  <c r="I131" i="196"/>
  <c r="L131" i="196" s="1"/>
  <c r="J48" i="196"/>
  <c r="T4" i="181"/>
  <c r="U4" i="181" s="1"/>
  <c r="V4" i="181" s="1"/>
  <c r="W4" i="181" s="1"/>
  <c r="X4" i="181" s="1"/>
  <c r="G24" i="181"/>
  <c r="G18" i="181"/>
  <c r="H6" i="181"/>
  <c r="H8" i="181"/>
  <c r="H10" i="181"/>
  <c r="H12" i="181"/>
  <c r="H14" i="181"/>
  <c r="H16" i="181"/>
  <c r="H20" i="181"/>
  <c r="H22" i="181"/>
  <c r="E24" i="181"/>
  <c r="E18" i="181"/>
  <c r="H18" i="181" s="1"/>
  <c r="C18" i="181"/>
  <c r="C26" i="181" s="1"/>
  <c r="U38" i="261"/>
  <c r="W38" i="261"/>
  <c r="S38" i="261"/>
  <c r="Q38" i="261"/>
  <c r="O38" i="261"/>
  <c r="M38" i="261"/>
  <c r="K38" i="261"/>
  <c r="I38" i="261"/>
  <c r="G38" i="261"/>
  <c r="W46" i="261"/>
  <c r="V44" i="261"/>
  <c r="V45" i="261" s="1"/>
  <c r="W43" i="261"/>
  <c r="W42" i="261"/>
  <c r="W41" i="261"/>
  <c r="W40" i="261"/>
  <c r="W39" i="261"/>
  <c r="W37" i="261"/>
  <c r="W36" i="261"/>
  <c r="W35" i="261"/>
  <c r="W34" i="261"/>
  <c r="W33" i="261"/>
  <c r="W31" i="261"/>
  <c r="W29" i="261"/>
  <c r="W28" i="261"/>
  <c r="W26" i="261"/>
  <c r="W27" i="261"/>
  <c r="W24" i="261"/>
  <c r="W23" i="261"/>
  <c r="W22" i="261"/>
  <c r="W21" i="261"/>
  <c r="W20" i="261"/>
  <c r="W18" i="261"/>
  <c r="W17" i="261"/>
  <c r="W16" i="261"/>
  <c r="W14" i="261"/>
  <c r="W13" i="261"/>
  <c r="W12" i="261"/>
  <c r="W11" i="261"/>
  <c r="W10" i="261"/>
  <c r="W9" i="261"/>
  <c r="W8" i="261"/>
  <c r="W7" i="261"/>
  <c r="W6" i="261"/>
  <c r="W5" i="261"/>
  <c r="J43" i="39"/>
  <c r="J44" i="39" s="1"/>
  <c r="G12" i="276"/>
  <c r="U68" i="308"/>
  <c r="W68" i="308"/>
  <c r="S68" i="308"/>
  <c r="Q68" i="308"/>
  <c r="O68" i="308"/>
  <c r="M68" i="308"/>
  <c r="K68" i="308"/>
  <c r="I68" i="308"/>
  <c r="G68" i="308"/>
  <c r="V35" i="308"/>
  <c r="T35" i="308"/>
  <c r="R35" i="308"/>
  <c r="U35" i="308" s="1"/>
  <c r="P35" i="308"/>
  <c r="N35" i="308"/>
  <c r="L35" i="308"/>
  <c r="J35" i="308"/>
  <c r="H35" i="308"/>
  <c r="F35" i="308"/>
  <c r="E35" i="308"/>
  <c r="D35" i="308"/>
  <c r="C35" i="308"/>
  <c r="B35" i="308"/>
  <c r="G34" i="308"/>
  <c r="I34" i="308"/>
  <c r="K34" i="308"/>
  <c r="M34" i="308"/>
  <c r="O34" i="308"/>
  <c r="Q34" i="308"/>
  <c r="S34" i="308"/>
  <c r="U34" i="308"/>
  <c r="W34" i="308"/>
  <c r="V28" i="308"/>
  <c r="V109" i="308"/>
  <c r="T109" i="308"/>
  <c r="R109" i="308"/>
  <c r="P109" i="308"/>
  <c r="N109" i="308"/>
  <c r="L109" i="308"/>
  <c r="J109" i="308"/>
  <c r="H109" i="308"/>
  <c r="F109" i="308"/>
  <c r="E109" i="308"/>
  <c r="D109" i="308"/>
  <c r="C109" i="308"/>
  <c r="B109" i="308"/>
  <c r="W98" i="308"/>
  <c r="U98" i="308"/>
  <c r="S98" i="308"/>
  <c r="Q98" i="308"/>
  <c r="O98" i="308"/>
  <c r="M98" i="308"/>
  <c r="K98" i="308"/>
  <c r="I98" i="308"/>
  <c r="G98" i="308"/>
  <c r="W8" i="308"/>
  <c r="U8" i="308"/>
  <c r="S8" i="308"/>
  <c r="Q8" i="308"/>
  <c r="O8" i="308"/>
  <c r="M8" i="308"/>
  <c r="I8" i="308"/>
  <c r="G8" i="308"/>
  <c r="V9" i="308"/>
  <c r="T9" i="308"/>
  <c r="R9" i="308"/>
  <c r="P9" i="308"/>
  <c r="N9" i="308"/>
  <c r="L9" i="308"/>
  <c r="J9" i="308"/>
  <c r="H9" i="308"/>
  <c r="F9" i="308"/>
  <c r="E9" i="308"/>
  <c r="D9" i="308"/>
  <c r="C9" i="308"/>
  <c r="B9" i="308"/>
  <c r="V31" i="308"/>
  <c r="V58" i="308" s="1"/>
  <c r="V87" i="308" s="1"/>
  <c r="W108" i="308"/>
  <c r="W107" i="308"/>
  <c r="W106" i="308"/>
  <c r="W105" i="308"/>
  <c r="W104" i="308"/>
  <c r="W103" i="308"/>
  <c r="W102" i="308"/>
  <c r="W101" i="308"/>
  <c r="W100" i="308"/>
  <c r="W99" i="308"/>
  <c r="V96" i="308"/>
  <c r="W95" i="308"/>
  <c r="W94" i="308"/>
  <c r="W93" i="308"/>
  <c r="W92" i="308"/>
  <c r="W91" i="308"/>
  <c r="W90" i="308"/>
  <c r="W89" i="308"/>
  <c r="V84" i="308"/>
  <c r="W83" i="308"/>
  <c r="W82" i="308"/>
  <c r="W81" i="308"/>
  <c r="W80" i="308"/>
  <c r="V78" i="308"/>
  <c r="W77" i="308"/>
  <c r="W76" i="308"/>
  <c r="W75" i="308"/>
  <c r="W74" i="308"/>
  <c r="W73" i="308"/>
  <c r="W72" i="308"/>
  <c r="V70" i="308"/>
  <c r="W69" i="308"/>
  <c r="W67" i="308"/>
  <c r="W66" i="308"/>
  <c r="W65" i="308"/>
  <c r="W64" i="308"/>
  <c r="W63" i="308"/>
  <c r="W62" i="308"/>
  <c r="W61" i="308"/>
  <c r="W60" i="308"/>
  <c r="V55" i="308"/>
  <c r="W54" i="308"/>
  <c r="W53" i="308"/>
  <c r="V51" i="308"/>
  <c r="W50" i="308"/>
  <c r="W49" i="308"/>
  <c r="W48" i="308"/>
  <c r="V46" i="308"/>
  <c r="W45" i="308"/>
  <c r="W44" i="308"/>
  <c r="V42" i="308"/>
  <c r="W41" i="308"/>
  <c r="W40" i="308"/>
  <c r="W38" i="308"/>
  <c r="W37" i="308"/>
  <c r="W33" i="308"/>
  <c r="W27" i="308"/>
  <c r="W26" i="308"/>
  <c r="W25" i="308"/>
  <c r="W24" i="308"/>
  <c r="V22" i="308"/>
  <c r="W20" i="308"/>
  <c r="V18" i="308"/>
  <c r="W17" i="308"/>
  <c r="W16" i="308"/>
  <c r="W15" i="308"/>
  <c r="W14" i="308"/>
  <c r="W13" i="308"/>
  <c r="W12" i="308"/>
  <c r="W11" i="308"/>
  <c r="W7" i="308"/>
  <c r="W6" i="308"/>
  <c r="J102" i="187"/>
  <c r="I102" i="187"/>
  <c r="H102" i="187"/>
  <c r="G102" i="187"/>
  <c r="F102" i="187"/>
  <c r="J32" i="187"/>
  <c r="I32" i="187"/>
  <c r="H32" i="187"/>
  <c r="G32" i="187"/>
  <c r="F32" i="187"/>
  <c r="J9" i="187"/>
  <c r="I9" i="187"/>
  <c r="H9" i="187"/>
  <c r="G9" i="187"/>
  <c r="F9" i="187"/>
  <c r="J89" i="187"/>
  <c r="J77" i="187"/>
  <c r="J71" i="187"/>
  <c r="J63" i="187"/>
  <c r="J47" i="187"/>
  <c r="J43" i="187"/>
  <c r="J39" i="187"/>
  <c r="J25" i="187"/>
  <c r="J21" i="187"/>
  <c r="J17" i="187"/>
  <c r="U108" i="308"/>
  <c r="S108" i="308"/>
  <c r="Q108" i="308"/>
  <c r="O108" i="308"/>
  <c r="M108" i="308"/>
  <c r="K108" i="308"/>
  <c r="I108" i="308"/>
  <c r="G108" i="308"/>
  <c r="U107" i="308"/>
  <c r="S107" i="308"/>
  <c r="Q107" i="308"/>
  <c r="O107" i="308"/>
  <c r="M107" i="308"/>
  <c r="K107" i="308"/>
  <c r="I107" i="308"/>
  <c r="G107" i="308"/>
  <c r="U106" i="308"/>
  <c r="S106" i="308"/>
  <c r="Q106" i="308"/>
  <c r="O106" i="308"/>
  <c r="M106" i="308"/>
  <c r="K106" i="308"/>
  <c r="I106" i="308"/>
  <c r="G106" i="308"/>
  <c r="U105" i="308"/>
  <c r="S105" i="308"/>
  <c r="Q105" i="308"/>
  <c r="O105" i="308"/>
  <c r="M105" i="308"/>
  <c r="K105" i="308"/>
  <c r="I105" i="308"/>
  <c r="G105" i="308"/>
  <c r="U104" i="308"/>
  <c r="S104" i="308"/>
  <c r="Q104" i="308"/>
  <c r="O104" i="308"/>
  <c r="M104" i="308"/>
  <c r="K104" i="308"/>
  <c r="I104" i="308"/>
  <c r="G104" i="308"/>
  <c r="U103" i="308"/>
  <c r="S103" i="308"/>
  <c r="Q103" i="308"/>
  <c r="O103" i="308"/>
  <c r="M103" i="308"/>
  <c r="K103" i="308"/>
  <c r="I103" i="308"/>
  <c r="G103" i="308"/>
  <c r="U102" i="308"/>
  <c r="S102" i="308"/>
  <c r="Q102" i="308"/>
  <c r="O102" i="308"/>
  <c r="M102" i="308"/>
  <c r="K102" i="308"/>
  <c r="I102" i="308"/>
  <c r="G102" i="308"/>
  <c r="U101" i="308"/>
  <c r="S101" i="308"/>
  <c r="Q101" i="308"/>
  <c r="O101" i="308"/>
  <c r="M101" i="308"/>
  <c r="K101" i="308"/>
  <c r="I101" i="308"/>
  <c r="G101" i="308"/>
  <c r="U100" i="308"/>
  <c r="S100" i="308"/>
  <c r="Q100" i="308"/>
  <c r="O100" i="308"/>
  <c r="M100" i="308"/>
  <c r="K100" i="308"/>
  <c r="I100" i="308"/>
  <c r="G100" i="308"/>
  <c r="U99" i="308"/>
  <c r="S99" i="308"/>
  <c r="Q99" i="308"/>
  <c r="O99" i="308"/>
  <c r="M99" i="308"/>
  <c r="K99" i="308"/>
  <c r="I99" i="308"/>
  <c r="G99" i="308"/>
  <c r="T96" i="308"/>
  <c r="R96" i="308"/>
  <c r="R110" i="308" s="1"/>
  <c r="P96" i="308"/>
  <c r="N96" i="308"/>
  <c r="L96" i="308"/>
  <c r="J96" i="308"/>
  <c r="J110" i="308" s="1"/>
  <c r="H96" i="308"/>
  <c r="F96" i="308"/>
  <c r="E96" i="308"/>
  <c r="D96" i="308"/>
  <c r="D110" i="308" s="1"/>
  <c r="C96" i="308"/>
  <c r="B96" i="308"/>
  <c r="U95" i="308"/>
  <c r="S95" i="308"/>
  <c r="Q95" i="308"/>
  <c r="O95" i="308"/>
  <c r="M95" i="308"/>
  <c r="K95" i="308"/>
  <c r="I95" i="308"/>
  <c r="G95" i="308"/>
  <c r="U94" i="308"/>
  <c r="S94" i="308"/>
  <c r="Q94" i="308"/>
  <c r="O94" i="308"/>
  <c r="M94" i="308"/>
  <c r="K94" i="308"/>
  <c r="I94" i="308"/>
  <c r="G94" i="308"/>
  <c r="U93" i="308"/>
  <c r="S93" i="308"/>
  <c r="Q93" i="308"/>
  <c r="O93" i="308"/>
  <c r="M93" i="308"/>
  <c r="K93" i="308"/>
  <c r="I93" i="308"/>
  <c r="G93" i="308"/>
  <c r="U92" i="308"/>
  <c r="S92" i="308"/>
  <c r="Q92" i="308"/>
  <c r="O92" i="308"/>
  <c r="M92" i="308"/>
  <c r="K92" i="308"/>
  <c r="I92" i="308"/>
  <c r="G92" i="308"/>
  <c r="U91" i="308"/>
  <c r="S91" i="308"/>
  <c r="Q91" i="308"/>
  <c r="O91" i="308"/>
  <c r="M91" i="308"/>
  <c r="K91" i="308"/>
  <c r="I91" i="308"/>
  <c r="G91" i="308"/>
  <c r="U90" i="308"/>
  <c r="S90" i="308"/>
  <c r="Q90" i="308"/>
  <c r="O90" i="308"/>
  <c r="M90" i="308"/>
  <c r="K90" i="308"/>
  <c r="I90" i="308"/>
  <c r="G90" i="308"/>
  <c r="U89" i="308"/>
  <c r="S89" i="308"/>
  <c r="Q89" i="308"/>
  <c r="O89" i="308"/>
  <c r="M89" i="308"/>
  <c r="K89" i="308"/>
  <c r="I89" i="308"/>
  <c r="G89" i="308"/>
  <c r="T84" i="308"/>
  <c r="R84" i="308"/>
  <c r="P84" i="308"/>
  <c r="N84" i="308"/>
  <c r="L84" i="308"/>
  <c r="J84" i="308"/>
  <c r="H84" i="308"/>
  <c r="F84" i="308"/>
  <c r="E84" i="308"/>
  <c r="D84" i="308"/>
  <c r="C84" i="308"/>
  <c r="B84" i="308"/>
  <c r="U83" i="308"/>
  <c r="S83" i="308"/>
  <c r="Q83" i="308"/>
  <c r="O83" i="308"/>
  <c r="M83" i="308"/>
  <c r="K83" i="308"/>
  <c r="I83" i="308"/>
  <c r="G83" i="308"/>
  <c r="U82" i="308"/>
  <c r="S82" i="308"/>
  <c r="Q82" i="308"/>
  <c r="O82" i="308"/>
  <c r="M82" i="308"/>
  <c r="K82" i="308"/>
  <c r="I82" i="308"/>
  <c r="G82" i="308"/>
  <c r="U81" i="308"/>
  <c r="S81" i="308"/>
  <c r="Q81" i="308"/>
  <c r="O81" i="308"/>
  <c r="M81" i="308"/>
  <c r="K81" i="308"/>
  <c r="I81" i="308"/>
  <c r="G81" i="308"/>
  <c r="U80" i="308"/>
  <c r="S80" i="308"/>
  <c r="Q80" i="308"/>
  <c r="O80" i="308"/>
  <c r="M80" i="308"/>
  <c r="K80" i="308"/>
  <c r="I80" i="308"/>
  <c r="G80" i="308"/>
  <c r="T78" i="308"/>
  <c r="R78" i="308"/>
  <c r="P78" i="308"/>
  <c r="N78" i="308"/>
  <c r="L78" i="308"/>
  <c r="J78" i="308"/>
  <c r="H78" i="308"/>
  <c r="F78" i="308"/>
  <c r="E78" i="308"/>
  <c r="D78" i="308"/>
  <c r="C78" i="308"/>
  <c r="B78" i="308"/>
  <c r="U77" i="308"/>
  <c r="S77" i="308"/>
  <c r="Q77" i="308"/>
  <c r="O77" i="308"/>
  <c r="M77" i="308"/>
  <c r="K77" i="308"/>
  <c r="I77" i="308"/>
  <c r="G77" i="308"/>
  <c r="U76" i="308"/>
  <c r="S76" i="308"/>
  <c r="Q76" i="308"/>
  <c r="O76" i="308"/>
  <c r="M76" i="308"/>
  <c r="K76" i="308"/>
  <c r="I76" i="308"/>
  <c r="G76" i="308"/>
  <c r="U75" i="308"/>
  <c r="S75" i="308"/>
  <c r="Q75" i="308"/>
  <c r="O75" i="308"/>
  <c r="M75" i="308"/>
  <c r="K75" i="308"/>
  <c r="I75" i="308"/>
  <c r="G75" i="308"/>
  <c r="U74" i="308"/>
  <c r="S74" i="308"/>
  <c r="Q74" i="308"/>
  <c r="O74" i="308"/>
  <c r="M74" i="308"/>
  <c r="K74" i="308"/>
  <c r="I74" i="308"/>
  <c r="G74" i="308"/>
  <c r="U73" i="308"/>
  <c r="S73" i="308"/>
  <c r="Q73" i="308"/>
  <c r="O73" i="308"/>
  <c r="M73" i="308"/>
  <c r="K73" i="308"/>
  <c r="I73" i="308"/>
  <c r="G73" i="308"/>
  <c r="U72" i="308"/>
  <c r="S72" i="308"/>
  <c r="Q72" i="308"/>
  <c r="O72" i="308"/>
  <c r="M72" i="308"/>
  <c r="K72" i="308"/>
  <c r="I72" i="308"/>
  <c r="G72" i="308"/>
  <c r="T70" i="308"/>
  <c r="T85" i="308" s="1"/>
  <c r="R70" i="308"/>
  <c r="R85" i="308" s="1"/>
  <c r="P70" i="308"/>
  <c r="N70" i="308"/>
  <c r="N85" i="308" s="1"/>
  <c r="L70" i="308"/>
  <c r="L85" i="308" s="1"/>
  <c r="J70" i="308"/>
  <c r="J85" i="308" s="1"/>
  <c r="H70" i="308"/>
  <c r="F70" i="308"/>
  <c r="F85" i="308" s="1"/>
  <c r="E70" i="308"/>
  <c r="D70" i="308"/>
  <c r="D85" i="308" s="1"/>
  <c r="C70" i="308"/>
  <c r="B70" i="308"/>
  <c r="B85" i="308" s="1"/>
  <c r="U69" i="308"/>
  <c r="S69" i="308"/>
  <c r="Q69" i="308"/>
  <c r="O69" i="308"/>
  <c r="M69" i="308"/>
  <c r="K69" i="308"/>
  <c r="I69" i="308"/>
  <c r="G69" i="308"/>
  <c r="U67" i="308"/>
  <c r="S67" i="308"/>
  <c r="Q67" i="308"/>
  <c r="O67" i="308"/>
  <c r="M67" i="308"/>
  <c r="K67" i="308"/>
  <c r="I67" i="308"/>
  <c r="G67" i="308"/>
  <c r="U66" i="308"/>
  <c r="S66" i="308"/>
  <c r="Q66" i="308"/>
  <c r="O66" i="308"/>
  <c r="M66" i="308"/>
  <c r="K66" i="308"/>
  <c r="I66" i="308"/>
  <c r="G66" i="308"/>
  <c r="U65" i="308"/>
  <c r="S65" i="308"/>
  <c r="Q65" i="308"/>
  <c r="O65" i="308"/>
  <c r="M65" i="308"/>
  <c r="K65" i="308"/>
  <c r="I65" i="308"/>
  <c r="G65" i="308"/>
  <c r="U64" i="308"/>
  <c r="S64" i="308"/>
  <c r="Q64" i="308"/>
  <c r="O64" i="308"/>
  <c r="M64" i="308"/>
  <c r="K64" i="308"/>
  <c r="I64" i="308"/>
  <c r="G64" i="308"/>
  <c r="U63" i="308"/>
  <c r="S63" i="308"/>
  <c r="Q63" i="308"/>
  <c r="O63" i="308"/>
  <c r="M63" i="308"/>
  <c r="K63" i="308"/>
  <c r="I63" i="308"/>
  <c r="G63" i="308"/>
  <c r="U62" i="308"/>
  <c r="S62" i="308"/>
  <c r="Q62" i="308"/>
  <c r="O62" i="308"/>
  <c r="M62" i="308"/>
  <c r="K62" i="308"/>
  <c r="I62" i="308"/>
  <c r="G62" i="308"/>
  <c r="U61" i="308"/>
  <c r="S61" i="308"/>
  <c r="Q61" i="308"/>
  <c r="O61" i="308"/>
  <c r="M61" i="308"/>
  <c r="K61" i="308"/>
  <c r="I61" i="308"/>
  <c r="G61" i="308"/>
  <c r="U60" i="308"/>
  <c r="S60" i="308"/>
  <c r="Q60" i="308"/>
  <c r="O60" i="308"/>
  <c r="M60" i="308"/>
  <c r="K60" i="308"/>
  <c r="I60" i="308"/>
  <c r="G60" i="308"/>
  <c r="T55" i="308"/>
  <c r="R55" i="308"/>
  <c r="P55" i="308"/>
  <c r="N55" i="308"/>
  <c r="L55" i="308"/>
  <c r="J55" i="308"/>
  <c r="H55" i="308"/>
  <c r="F55" i="308"/>
  <c r="E55" i="308"/>
  <c r="D55" i="308"/>
  <c r="C55" i="308"/>
  <c r="B55" i="308"/>
  <c r="U54" i="308"/>
  <c r="S54" i="308"/>
  <c r="Q54" i="308"/>
  <c r="O54" i="308"/>
  <c r="M54" i="308"/>
  <c r="K54" i="308"/>
  <c r="I54" i="308"/>
  <c r="G54" i="308"/>
  <c r="U53" i="308"/>
  <c r="S53" i="308"/>
  <c r="Q53" i="308"/>
  <c r="O53" i="308"/>
  <c r="M53" i="308"/>
  <c r="K53" i="308"/>
  <c r="I53" i="308"/>
  <c r="G53" i="308"/>
  <c r="T51" i="308"/>
  <c r="R51" i="308"/>
  <c r="P51" i="308"/>
  <c r="N51" i="308"/>
  <c r="L51" i="308"/>
  <c r="J51" i="308"/>
  <c r="H51" i="308"/>
  <c r="F51" i="308"/>
  <c r="E51" i="308"/>
  <c r="D51" i="308"/>
  <c r="C51" i="308"/>
  <c r="B51" i="308"/>
  <c r="U50" i="308"/>
  <c r="S50" i="308"/>
  <c r="Q50" i="308"/>
  <c r="O50" i="308"/>
  <c r="M50" i="308"/>
  <c r="K50" i="308"/>
  <c r="I50" i="308"/>
  <c r="G50" i="308"/>
  <c r="U49" i="308"/>
  <c r="S49" i="308"/>
  <c r="Q49" i="308"/>
  <c r="O49" i="308"/>
  <c r="M49" i="308"/>
  <c r="K49" i="308"/>
  <c r="I49" i="308"/>
  <c r="G49" i="308"/>
  <c r="U48" i="308"/>
  <c r="S48" i="308"/>
  <c r="Q48" i="308"/>
  <c r="O48" i="308"/>
  <c r="M48" i="308"/>
  <c r="K48" i="308"/>
  <c r="I48" i="308"/>
  <c r="G48" i="308"/>
  <c r="T46" i="308"/>
  <c r="R46" i="308"/>
  <c r="P46" i="308"/>
  <c r="N46" i="308"/>
  <c r="L46" i="308"/>
  <c r="J46" i="308"/>
  <c r="H46" i="308"/>
  <c r="F46" i="308"/>
  <c r="E46" i="308"/>
  <c r="M46" i="308"/>
  <c r="D46" i="308"/>
  <c r="C46" i="308"/>
  <c r="B46" i="308"/>
  <c r="U45" i="308"/>
  <c r="S45" i="308"/>
  <c r="Q45" i="308"/>
  <c r="O45" i="308"/>
  <c r="M45" i="308"/>
  <c r="K45" i="308"/>
  <c r="I45" i="308"/>
  <c r="G45" i="308"/>
  <c r="U44" i="308"/>
  <c r="S44" i="308"/>
  <c r="Q44" i="308"/>
  <c r="O44" i="308"/>
  <c r="M44" i="308"/>
  <c r="K44" i="308"/>
  <c r="I44" i="308"/>
  <c r="G44" i="308"/>
  <c r="T42" i="308"/>
  <c r="T56" i="308" s="1"/>
  <c r="R42" i="308"/>
  <c r="P42" i="308"/>
  <c r="N42" i="308"/>
  <c r="L42" i="308"/>
  <c r="L56" i="308" s="1"/>
  <c r="J42" i="308"/>
  <c r="H42" i="308"/>
  <c r="F42" i="308"/>
  <c r="E42" i="308"/>
  <c r="E56" i="308" s="1"/>
  <c r="D42" i="308"/>
  <c r="C42" i="308"/>
  <c r="B42" i="308"/>
  <c r="U41" i="308"/>
  <c r="S41" i="308"/>
  <c r="Q41" i="308"/>
  <c r="O41" i="308"/>
  <c r="M41" i="308"/>
  <c r="K41" i="308"/>
  <c r="I41" i="308"/>
  <c r="G41" i="308"/>
  <c r="U40" i="308"/>
  <c r="S40" i="308"/>
  <c r="Q40" i="308"/>
  <c r="O40" i="308"/>
  <c r="M40" i="308"/>
  <c r="K40" i="308"/>
  <c r="I40" i="308"/>
  <c r="G40" i="308"/>
  <c r="U38" i="308"/>
  <c r="S38" i="308"/>
  <c r="Q38" i="308"/>
  <c r="O38" i="308"/>
  <c r="M38" i="308"/>
  <c r="K38" i="308"/>
  <c r="I38" i="308"/>
  <c r="G38" i="308"/>
  <c r="U37" i="308"/>
  <c r="S37" i="308"/>
  <c r="Q37" i="308"/>
  <c r="O37" i="308"/>
  <c r="M37" i="308"/>
  <c r="K37" i="308"/>
  <c r="I37" i="308"/>
  <c r="G37" i="308"/>
  <c r="U33" i="308"/>
  <c r="S33" i="308"/>
  <c r="Q33" i="308"/>
  <c r="O33" i="308"/>
  <c r="M33" i="308"/>
  <c r="K33" i="308"/>
  <c r="I33" i="308"/>
  <c r="G33" i="308"/>
  <c r="T28" i="308"/>
  <c r="R28" i="308"/>
  <c r="P28" i="308"/>
  <c r="N28" i="308"/>
  <c r="L28" i="308"/>
  <c r="J28" i="308"/>
  <c r="H28" i="308"/>
  <c r="F28" i="308"/>
  <c r="E28" i="308"/>
  <c r="D28" i="308"/>
  <c r="C28" i="308"/>
  <c r="B28" i="308"/>
  <c r="U27" i="308"/>
  <c r="S27" i="308"/>
  <c r="Q27" i="308"/>
  <c r="O27" i="308"/>
  <c r="M27" i="308"/>
  <c r="K27" i="308"/>
  <c r="I27" i="308"/>
  <c r="G27" i="308"/>
  <c r="U26" i="308"/>
  <c r="S26" i="308"/>
  <c r="Q26" i="308"/>
  <c r="O26" i="308"/>
  <c r="M26" i="308"/>
  <c r="K26" i="308"/>
  <c r="I26" i="308"/>
  <c r="G26" i="308"/>
  <c r="U25" i="308"/>
  <c r="S25" i="308"/>
  <c r="Q25" i="308"/>
  <c r="O25" i="308"/>
  <c r="M25" i="308"/>
  <c r="K25" i="308"/>
  <c r="I25" i="308"/>
  <c r="G25" i="308"/>
  <c r="U24" i="308"/>
  <c r="S24" i="308"/>
  <c r="Q24" i="308"/>
  <c r="O24" i="308"/>
  <c r="M24" i="308"/>
  <c r="K24" i="308"/>
  <c r="I24" i="308"/>
  <c r="G24" i="308"/>
  <c r="T22" i="308"/>
  <c r="R22" i="308"/>
  <c r="P22" i="308"/>
  <c r="L22" i="308"/>
  <c r="J22" i="308"/>
  <c r="H22" i="308"/>
  <c r="F22" i="308"/>
  <c r="E22" i="308"/>
  <c r="D22" i="308"/>
  <c r="C22" i="308"/>
  <c r="B22" i="308"/>
  <c r="N21" i="308"/>
  <c r="W21" i="308" s="1"/>
  <c r="M21" i="308"/>
  <c r="K21" i="308"/>
  <c r="I21" i="308"/>
  <c r="G21" i="308"/>
  <c r="U20" i="308"/>
  <c r="S20" i="308"/>
  <c r="Q20" i="308"/>
  <c r="O20" i="308"/>
  <c r="M20" i="308"/>
  <c r="K20" i="308"/>
  <c r="I20" i="308"/>
  <c r="G20" i="308"/>
  <c r="T18" i="308"/>
  <c r="R18" i="308"/>
  <c r="P18" i="308"/>
  <c r="N18" i="308"/>
  <c r="L18" i="308"/>
  <c r="J18" i="308"/>
  <c r="H18" i="308"/>
  <c r="F18" i="308"/>
  <c r="E18" i="308"/>
  <c r="D18" i="308"/>
  <c r="C18" i="308"/>
  <c r="B18" i="308"/>
  <c r="U17" i="308"/>
  <c r="S17" i="308"/>
  <c r="Q17" i="308"/>
  <c r="O17" i="308"/>
  <c r="M17" i="308"/>
  <c r="K17" i="308"/>
  <c r="I17" i="308"/>
  <c r="G17" i="308"/>
  <c r="U16" i="308"/>
  <c r="S16" i="308"/>
  <c r="Q16" i="308"/>
  <c r="O16" i="308"/>
  <c r="M16" i="308"/>
  <c r="K16" i="308"/>
  <c r="I16" i="308"/>
  <c r="G16" i="308"/>
  <c r="U15" i="308"/>
  <c r="S15" i="308"/>
  <c r="Q15" i="308"/>
  <c r="O15" i="308"/>
  <c r="M15" i="308"/>
  <c r="K15" i="308"/>
  <c r="I15" i="308"/>
  <c r="G15" i="308"/>
  <c r="U14" i="308"/>
  <c r="S14" i="308"/>
  <c r="Q14" i="308"/>
  <c r="O14" i="308"/>
  <c r="M14" i="308"/>
  <c r="K14" i="308"/>
  <c r="I14" i="308"/>
  <c r="G14" i="308"/>
  <c r="U13" i="308"/>
  <c r="S13" i="308"/>
  <c r="Q13" i="308"/>
  <c r="O13" i="308"/>
  <c r="M13" i="308"/>
  <c r="K13" i="308"/>
  <c r="I13" i="308"/>
  <c r="G13" i="308"/>
  <c r="U12" i="308"/>
  <c r="S12" i="308"/>
  <c r="Q12" i="308"/>
  <c r="O12" i="308"/>
  <c r="M12" i="308"/>
  <c r="K12" i="308"/>
  <c r="I12" i="308"/>
  <c r="G12" i="308"/>
  <c r="U11" i="308"/>
  <c r="S11" i="308"/>
  <c r="Q11" i="308"/>
  <c r="O11" i="308"/>
  <c r="M11" i="308"/>
  <c r="K11" i="308"/>
  <c r="I11" i="308"/>
  <c r="G11" i="308"/>
  <c r="U7" i="308"/>
  <c r="S7" i="308"/>
  <c r="Q7" i="308"/>
  <c r="O7" i="308"/>
  <c r="M7" i="308"/>
  <c r="K7" i="308"/>
  <c r="I7" i="308"/>
  <c r="G7" i="308"/>
  <c r="U6" i="308"/>
  <c r="S6" i="308"/>
  <c r="Q6" i="308"/>
  <c r="O6" i="308"/>
  <c r="M6" i="308"/>
  <c r="K6" i="308"/>
  <c r="I6" i="308"/>
  <c r="G6" i="308"/>
  <c r="D27" i="307"/>
  <c r="C27" i="307"/>
  <c r="E26" i="307"/>
  <c r="E25" i="307"/>
  <c r="D22" i="307"/>
  <c r="E21" i="307"/>
  <c r="E20" i="307"/>
  <c r="C17" i="307"/>
  <c r="E16" i="307"/>
  <c r="E15" i="307"/>
  <c r="D12" i="307"/>
  <c r="C12" i="307"/>
  <c r="E11" i="307"/>
  <c r="E10" i="307"/>
  <c r="B9" i="307"/>
  <c r="B14" i="307" s="1"/>
  <c r="B19" i="307" s="1"/>
  <c r="B24" i="307" s="1"/>
  <c r="D7" i="307"/>
  <c r="C7" i="307"/>
  <c r="E6" i="307"/>
  <c r="E5" i="307"/>
  <c r="H12" i="21"/>
  <c r="E12" i="21"/>
  <c r="H10" i="21"/>
  <c r="E10" i="21"/>
  <c r="L13" i="239"/>
  <c r="Z11" i="239" s="1"/>
  <c r="M11" i="239"/>
  <c r="M9" i="239"/>
  <c r="M7" i="239"/>
  <c r="M72" i="161"/>
  <c r="L72" i="161"/>
  <c r="K72" i="161"/>
  <c r="H72" i="161"/>
  <c r="G72" i="161"/>
  <c r="F72" i="161"/>
  <c r="D72" i="161"/>
  <c r="C72" i="161"/>
  <c r="B72" i="161"/>
  <c r="N72" i="160"/>
  <c r="T72" i="160" s="1"/>
  <c r="I72" i="160"/>
  <c r="J72" i="160"/>
  <c r="H73" i="160"/>
  <c r="G73" i="160"/>
  <c r="F73" i="160"/>
  <c r="D73" i="160"/>
  <c r="C73" i="160"/>
  <c r="B73" i="160"/>
  <c r="O72" i="160"/>
  <c r="M73" i="160"/>
  <c r="L73" i="160"/>
  <c r="K73" i="160"/>
  <c r="I34" i="160"/>
  <c r="E34" i="160"/>
  <c r="J34" i="160" s="1"/>
  <c r="N34" i="160"/>
  <c r="O34" i="160"/>
  <c r="H114" i="160"/>
  <c r="G114" i="160"/>
  <c r="F114" i="160"/>
  <c r="H101" i="160"/>
  <c r="G101" i="160"/>
  <c r="F101" i="160"/>
  <c r="H97" i="160"/>
  <c r="G97" i="160"/>
  <c r="F97" i="160"/>
  <c r="H91" i="160"/>
  <c r="G91" i="160"/>
  <c r="F91" i="160"/>
  <c r="H79" i="160"/>
  <c r="G79" i="160"/>
  <c r="F79" i="160"/>
  <c r="H59" i="160"/>
  <c r="G59" i="160"/>
  <c r="F59" i="160"/>
  <c r="H52" i="160"/>
  <c r="G52" i="160"/>
  <c r="F52" i="160"/>
  <c r="H37" i="160"/>
  <c r="H42" i="160" s="1"/>
  <c r="G37" i="160"/>
  <c r="G42" i="160"/>
  <c r="F37" i="160"/>
  <c r="F42" i="160" s="1"/>
  <c r="D114" i="160"/>
  <c r="C114" i="160"/>
  <c r="B114" i="160"/>
  <c r="D101" i="160"/>
  <c r="C101" i="160"/>
  <c r="B101" i="160"/>
  <c r="D97" i="160"/>
  <c r="C97" i="160"/>
  <c r="B97" i="160"/>
  <c r="D91" i="160"/>
  <c r="C91" i="160"/>
  <c r="B91" i="160"/>
  <c r="I58" i="160"/>
  <c r="I54" i="160"/>
  <c r="I55" i="160"/>
  <c r="V6" i="274"/>
  <c r="AE6" i="274" s="1"/>
  <c r="U79" i="274"/>
  <c r="W79" i="274"/>
  <c r="S79" i="274"/>
  <c r="Q79" i="274"/>
  <c r="O79" i="274"/>
  <c r="M79" i="274"/>
  <c r="K79" i="274"/>
  <c r="I79" i="274"/>
  <c r="G79" i="274"/>
  <c r="H80" i="159"/>
  <c r="J72" i="159"/>
  <c r="H72" i="159"/>
  <c r="F72" i="159"/>
  <c r="D72" i="159"/>
  <c r="E52" i="35"/>
  <c r="E56" i="35" s="1"/>
  <c r="D52" i="35"/>
  <c r="D56" i="35" s="1"/>
  <c r="E53" i="34"/>
  <c r="D53" i="34"/>
  <c r="E53" i="36"/>
  <c r="E57" i="36" s="1"/>
  <c r="D53" i="36"/>
  <c r="D57" i="36" s="1"/>
  <c r="G13" i="259"/>
  <c r="V137" i="274"/>
  <c r="W135" i="274"/>
  <c r="W134" i="274"/>
  <c r="W133" i="274"/>
  <c r="V130" i="274"/>
  <c r="W129" i="274"/>
  <c r="W128" i="274"/>
  <c r="W127" i="274"/>
  <c r="W126" i="274"/>
  <c r="W125" i="274"/>
  <c r="W124" i="274"/>
  <c r="W123" i="274"/>
  <c r="W122" i="274"/>
  <c r="W121" i="274"/>
  <c r="W119" i="274"/>
  <c r="W118" i="274"/>
  <c r="W117" i="274"/>
  <c r="V115" i="274"/>
  <c r="W114" i="274"/>
  <c r="W113" i="274"/>
  <c r="W112" i="274"/>
  <c r="W111" i="274"/>
  <c r="W110" i="274"/>
  <c r="W109" i="274"/>
  <c r="V104" i="274"/>
  <c r="W103" i="274"/>
  <c r="W102" i="274"/>
  <c r="W101" i="274"/>
  <c r="W100" i="274"/>
  <c r="W99" i="274"/>
  <c r="V97" i="274"/>
  <c r="W96" i="274"/>
  <c r="W95" i="274"/>
  <c r="W94" i="274"/>
  <c r="W93" i="274"/>
  <c r="W92" i="274"/>
  <c r="W91" i="274"/>
  <c r="W90" i="274"/>
  <c r="V88" i="274"/>
  <c r="AE88" i="274" s="1"/>
  <c r="W87" i="274"/>
  <c r="W86" i="274"/>
  <c r="W85" i="274"/>
  <c r="W78" i="274"/>
  <c r="W77" i="274"/>
  <c r="W76" i="274"/>
  <c r="W75" i="274"/>
  <c r="W74" i="274"/>
  <c r="W73" i="274"/>
  <c r="W72" i="274"/>
  <c r="W71" i="274"/>
  <c r="W70" i="274"/>
  <c r="W64" i="274"/>
  <c r="W59" i="274"/>
  <c r="V57" i="274"/>
  <c r="W56" i="274"/>
  <c r="W55" i="274"/>
  <c r="V52" i="274"/>
  <c r="W51" i="274"/>
  <c r="W50" i="274"/>
  <c r="W47" i="274"/>
  <c r="W45" i="274"/>
  <c r="W44" i="274"/>
  <c r="V42" i="274"/>
  <c r="W41" i="274"/>
  <c r="W40" i="274"/>
  <c r="W39" i="274"/>
  <c r="V34" i="274"/>
  <c r="W33" i="274"/>
  <c r="W32" i="274"/>
  <c r="W31" i="274"/>
  <c r="W30" i="274"/>
  <c r="V28" i="274"/>
  <c r="W27" i="274"/>
  <c r="W26" i="274"/>
  <c r="W25" i="274"/>
  <c r="W24" i="274"/>
  <c r="V22" i="274"/>
  <c r="W21" i="274"/>
  <c r="W20" i="274"/>
  <c r="W19" i="274"/>
  <c r="V13" i="274"/>
  <c r="W12" i="274"/>
  <c r="W11" i="274"/>
  <c r="W10" i="274"/>
  <c r="W9" i="274"/>
  <c r="W8" i="274"/>
  <c r="W7" i="274"/>
  <c r="G24" i="27"/>
  <c r="G18" i="27"/>
  <c r="E24" i="27"/>
  <c r="E18" i="27"/>
  <c r="C24" i="27"/>
  <c r="C18" i="27"/>
  <c r="I128" i="159"/>
  <c r="L128" i="159" s="1"/>
  <c r="J127" i="159"/>
  <c r="J126" i="159"/>
  <c r="J125" i="159"/>
  <c r="I121" i="159"/>
  <c r="L121" i="159" s="1"/>
  <c r="J120" i="159"/>
  <c r="J119" i="159"/>
  <c r="J118" i="159"/>
  <c r="J117" i="159"/>
  <c r="J116" i="159"/>
  <c r="J115" i="159"/>
  <c r="J114" i="159"/>
  <c r="J113" i="159"/>
  <c r="J110" i="159"/>
  <c r="J109" i="159"/>
  <c r="I107" i="159"/>
  <c r="L107" i="159" s="1"/>
  <c r="J106" i="159"/>
  <c r="J105" i="159"/>
  <c r="J104" i="159"/>
  <c r="J103" i="159"/>
  <c r="J102" i="159"/>
  <c r="J101" i="159"/>
  <c r="I96" i="159"/>
  <c r="L96" i="159" s="1"/>
  <c r="J95" i="159"/>
  <c r="J94" i="159"/>
  <c r="J93" i="159"/>
  <c r="J92" i="159"/>
  <c r="J91" i="159"/>
  <c r="J88" i="159"/>
  <c r="J87" i="159"/>
  <c r="J86" i="159"/>
  <c r="J85" i="159"/>
  <c r="J84" i="159"/>
  <c r="I89" i="159"/>
  <c r="L89" i="159" s="1"/>
  <c r="I81" i="159"/>
  <c r="L81" i="159" s="1"/>
  <c r="J80" i="159"/>
  <c r="J79" i="159"/>
  <c r="J78" i="159"/>
  <c r="J71" i="159"/>
  <c r="J70" i="159"/>
  <c r="J69" i="159"/>
  <c r="J68" i="159"/>
  <c r="J67" i="159"/>
  <c r="J61" i="159"/>
  <c r="J53" i="159"/>
  <c r="J52" i="159"/>
  <c r="I54" i="159"/>
  <c r="L54" i="159" s="1"/>
  <c r="J48" i="159"/>
  <c r="I49" i="159"/>
  <c r="J44" i="159"/>
  <c r="J42" i="159"/>
  <c r="I40" i="159"/>
  <c r="L40" i="159" s="1"/>
  <c r="J38" i="159"/>
  <c r="I33" i="159"/>
  <c r="L33" i="159" s="1"/>
  <c r="J32" i="159"/>
  <c r="J31" i="159"/>
  <c r="J30" i="159"/>
  <c r="J29" i="159"/>
  <c r="I27" i="159"/>
  <c r="L27" i="159" s="1"/>
  <c r="J26" i="159"/>
  <c r="J24" i="159"/>
  <c r="I22" i="159"/>
  <c r="L22" i="159" s="1"/>
  <c r="J20" i="159"/>
  <c r="J19" i="159"/>
  <c r="J18" i="159"/>
  <c r="J17" i="159"/>
  <c r="J16" i="159"/>
  <c r="J15" i="159"/>
  <c r="I13" i="159"/>
  <c r="L13" i="159" s="1"/>
  <c r="J12" i="159"/>
  <c r="J11" i="159"/>
  <c r="J10" i="159"/>
  <c r="J9" i="159"/>
  <c r="J8" i="159"/>
  <c r="J7" i="159"/>
  <c r="J6" i="159"/>
  <c r="S13" i="234"/>
  <c r="G24" i="234"/>
  <c r="G18" i="234"/>
  <c r="E24" i="234"/>
  <c r="E18" i="234"/>
  <c r="C24" i="234"/>
  <c r="C18" i="234"/>
  <c r="W53" i="186"/>
  <c r="V53" i="186"/>
  <c r="U53" i="186"/>
  <c r="M53" i="186"/>
  <c r="L53" i="186"/>
  <c r="K53" i="186"/>
  <c r="X53" i="185"/>
  <c r="AD53" i="185" s="1"/>
  <c r="S53" i="185"/>
  <c r="N53" i="185"/>
  <c r="W54" i="185"/>
  <c r="V54" i="185"/>
  <c r="U54" i="185"/>
  <c r="R54" i="185"/>
  <c r="Q54" i="185"/>
  <c r="P54" i="185"/>
  <c r="M54" i="185"/>
  <c r="L54" i="185"/>
  <c r="K54" i="185"/>
  <c r="W31" i="186"/>
  <c r="V31" i="186"/>
  <c r="U31" i="186"/>
  <c r="M31" i="186"/>
  <c r="L31" i="186"/>
  <c r="K31" i="186"/>
  <c r="X31" i="185"/>
  <c r="AD31" i="185" s="1"/>
  <c r="S31" i="185"/>
  <c r="Y31" i="185" s="1"/>
  <c r="N31" i="185"/>
  <c r="W105" i="186"/>
  <c r="V105" i="186"/>
  <c r="U105" i="186"/>
  <c r="M105" i="186"/>
  <c r="L105" i="186"/>
  <c r="K105" i="186"/>
  <c r="X105" i="185"/>
  <c r="N105" i="185"/>
  <c r="T105" i="185" s="1"/>
  <c r="N66" i="273"/>
  <c r="L66" i="273"/>
  <c r="J66" i="273"/>
  <c r="H66" i="273"/>
  <c r="F66" i="273"/>
  <c r="D66" i="273"/>
  <c r="N64" i="273"/>
  <c r="L64" i="273"/>
  <c r="J64" i="273"/>
  <c r="H64" i="273"/>
  <c r="F64" i="273"/>
  <c r="D64" i="273"/>
  <c r="N16" i="273"/>
  <c r="L39" i="273"/>
  <c r="N39" i="273"/>
  <c r="J39" i="273"/>
  <c r="H39" i="273"/>
  <c r="F39" i="273"/>
  <c r="D39" i="273"/>
  <c r="M121" i="273"/>
  <c r="P121" i="273" s="1"/>
  <c r="N120" i="273"/>
  <c r="N119" i="273"/>
  <c r="N118" i="273"/>
  <c r="N113" i="273"/>
  <c r="N112" i="273"/>
  <c r="N111" i="273"/>
  <c r="N110" i="273"/>
  <c r="N109" i="273"/>
  <c r="N108" i="273"/>
  <c r="N107" i="273"/>
  <c r="N106" i="273"/>
  <c r="N105" i="273"/>
  <c r="N104" i="273"/>
  <c r="N103" i="273"/>
  <c r="M101" i="273"/>
  <c r="P101" i="273" s="1"/>
  <c r="N100" i="273"/>
  <c r="N99" i="273"/>
  <c r="N98" i="273"/>
  <c r="N97" i="273"/>
  <c r="N96" i="273"/>
  <c r="N95" i="273"/>
  <c r="N94" i="273"/>
  <c r="M89" i="273"/>
  <c r="P89" i="273" s="1"/>
  <c r="N89" i="273"/>
  <c r="N88" i="273"/>
  <c r="N87" i="273"/>
  <c r="N86" i="273"/>
  <c r="N85" i="273"/>
  <c r="N84" i="273"/>
  <c r="M82" i="273"/>
  <c r="P82" i="273" s="1"/>
  <c r="N81" i="273"/>
  <c r="N80" i="273"/>
  <c r="N79" i="273"/>
  <c r="N78" i="273"/>
  <c r="N77" i="273"/>
  <c r="N76" i="273"/>
  <c r="N75" i="273"/>
  <c r="M73" i="273"/>
  <c r="P73" i="273" s="1"/>
  <c r="N72" i="273"/>
  <c r="N67" i="273"/>
  <c r="N63" i="273"/>
  <c r="N62" i="273"/>
  <c r="N61" i="273"/>
  <c r="N60" i="273"/>
  <c r="N59" i="273"/>
  <c r="M54" i="273"/>
  <c r="P54" i="273" s="1"/>
  <c r="N53" i="273"/>
  <c r="N52" i="273"/>
  <c r="M50" i="273"/>
  <c r="P50" i="273" s="1"/>
  <c r="N49" i="273"/>
  <c r="N48" i="273"/>
  <c r="N47" i="273"/>
  <c r="M45" i="273"/>
  <c r="P45" i="273" s="1"/>
  <c r="N44" i="273"/>
  <c r="N43" i="273"/>
  <c r="M41" i="273"/>
  <c r="P41" i="273" s="1"/>
  <c r="N40" i="273"/>
  <c r="N38" i="273"/>
  <c r="N37" i="273"/>
  <c r="M35" i="273"/>
  <c r="N34" i="273"/>
  <c r="N33" i="273"/>
  <c r="M28" i="273"/>
  <c r="P28" i="273" s="1"/>
  <c r="N27" i="273"/>
  <c r="N26" i="273"/>
  <c r="N25" i="273"/>
  <c r="M23" i="273"/>
  <c r="P23" i="273" s="1"/>
  <c r="N22" i="273"/>
  <c r="N21" i="273"/>
  <c r="N20" i="273"/>
  <c r="N19" i="273"/>
  <c r="M17" i="273"/>
  <c r="P17" i="273" s="1"/>
  <c r="N15" i="273"/>
  <c r="N14" i="273"/>
  <c r="N13" i="273"/>
  <c r="N12" i="273"/>
  <c r="N11" i="273"/>
  <c r="N10" i="273"/>
  <c r="M8" i="273"/>
  <c r="P8" i="273" s="1"/>
  <c r="N7" i="273"/>
  <c r="N6" i="273"/>
  <c r="N5" i="273"/>
  <c r="L27" i="273"/>
  <c r="L26" i="273"/>
  <c r="L25" i="273"/>
  <c r="L22" i="273"/>
  <c r="L21" i="273"/>
  <c r="L20" i="273"/>
  <c r="L19" i="273"/>
  <c r="L16" i="273"/>
  <c r="L15" i="273"/>
  <c r="L14" i="273"/>
  <c r="L13" i="273"/>
  <c r="L12" i="273"/>
  <c r="L11" i="273"/>
  <c r="L10" i="273"/>
  <c r="L7" i="273"/>
  <c r="L6" i="273"/>
  <c r="L5" i="273"/>
  <c r="N97" i="185"/>
  <c r="O97" i="185" s="1"/>
  <c r="N96" i="185"/>
  <c r="N93" i="185"/>
  <c r="O93" i="185"/>
  <c r="N92" i="185"/>
  <c r="N91" i="185"/>
  <c r="O91" i="185" s="1"/>
  <c r="N90" i="185"/>
  <c r="N89" i="185"/>
  <c r="O89" i="185" s="1"/>
  <c r="N86" i="185"/>
  <c r="O86" i="185" s="1"/>
  <c r="N85" i="185"/>
  <c r="O85" i="185" s="1"/>
  <c r="N82" i="185"/>
  <c r="N81" i="185"/>
  <c r="P15" i="37"/>
  <c r="R15" i="37" s="1"/>
  <c r="N15" i="37"/>
  <c r="L15" i="37"/>
  <c r="F15" i="37"/>
  <c r="P31" i="37"/>
  <c r="N31" i="37"/>
  <c r="L31" i="37"/>
  <c r="F31" i="37"/>
  <c r="L29" i="37"/>
  <c r="P29" i="37"/>
  <c r="N29" i="37"/>
  <c r="D27" i="288"/>
  <c r="C27" i="288"/>
  <c r="E26" i="288"/>
  <c r="E25" i="288"/>
  <c r="D22" i="288"/>
  <c r="E21" i="288"/>
  <c r="E20" i="288"/>
  <c r="C17" i="288"/>
  <c r="E16" i="288"/>
  <c r="E15" i="288"/>
  <c r="D12" i="288"/>
  <c r="C12" i="288"/>
  <c r="E11" i="288"/>
  <c r="E10" i="288"/>
  <c r="B9" i="288"/>
  <c r="B14" i="288" s="1"/>
  <c r="B19" i="288" s="1"/>
  <c r="B24" i="288" s="1"/>
  <c r="D7" i="288"/>
  <c r="C7" i="288"/>
  <c r="E6" i="288"/>
  <c r="E5" i="288"/>
  <c r="W13" i="181"/>
  <c r="J72" i="196"/>
  <c r="H72" i="196"/>
  <c r="F72" i="196"/>
  <c r="D72" i="196"/>
  <c r="I46" i="196"/>
  <c r="L46" i="196" s="1"/>
  <c r="B46" i="196"/>
  <c r="J44" i="196"/>
  <c r="H44" i="196"/>
  <c r="F44" i="196"/>
  <c r="D44" i="196"/>
  <c r="J24" i="196"/>
  <c r="J5" i="196"/>
  <c r="J6" i="196"/>
  <c r="H6" i="196"/>
  <c r="F6" i="196"/>
  <c r="D6" i="196"/>
  <c r="I124" i="196"/>
  <c r="L124" i="196" s="1"/>
  <c r="I112" i="196"/>
  <c r="L112" i="196" s="1"/>
  <c r="I10" i="196"/>
  <c r="L10" i="196" s="1"/>
  <c r="I20" i="196"/>
  <c r="L20" i="196" s="1"/>
  <c r="I26" i="196"/>
  <c r="L26" i="196" s="1"/>
  <c r="I32" i="196"/>
  <c r="L32" i="196" s="1"/>
  <c r="I40" i="196"/>
  <c r="L40" i="196" s="1"/>
  <c r="I50" i="196"/>
  <c r="L50" i="196" s="1"/>
  <c r="I55" i="196"/>
  <c r="L55" i="196" s="1"/>
  <c r="I84" i="196"/>
  <c r="L84" i="196" s="1"/>
  <c r="I93" i="196"/>
  <c r="L93" i="196" s="1"/>
  <c r="I101" i="196"/>
  <c r="L101" i="196" s="1"/>
  <c r="G10" i="196"/>
  <c r="J10" i="196" s="1"/>
  <c r="G26" i="196"/>
  <c r="G20" i="196"/>
  <c r="G40" i="196"/>
  <c r="G55" i="196"/>
  <c r="G50" i="196"/>
  <c r="G84" i="196"/>
  <c r="G101" i="196"/>
  <c r="G93" i="196"/>
  <c r="G131" i="196"/>
  <c r="J131" i="196" s="1"/>
  <c r="G124" i="196"/>
  <c r="H124" i="196" s="1"/>
  <c r="G112" i="196"/>
  <c r="J129" i="196"/>
  <c r="J128" i="196"/>
  <c r="J127" i="196"/>
  <c r="J123" i="196"/>
  <c r="J122" i="196"/>
  <c r="J121" i="196"/>
  <c r="J120" i="196"/>
  <c r="J119" i="196"/>
  <c r="J118" i="196"/>
  <c r="J117" i="196"/>
  <c r="J116" i="196"/>
  <c r="J115" i="196"/>
  <c r="J114" i="196"/>
  <c r="J111" i="196"/>
  <c r="J110" i="196"/>
  <c r="J109" i="196"/>
  <c r="J108" i="196"/>
  <c r="J107" i="196"/>
  <c r="J106" i="196"/>
  <c r="C104" i="196"/>
  <c r="E104" i="196" s="1"/>
  <c r="G104" i="196" s="1"/>
  <c r="I104" i="196" s="1"/>
  <c r="J100" i="196"/>
  <c r="J99" i="196"/>
  <c r="J98" i="196"/>
  <c r="J97" i="196"/>
  <c r="J96" i="196"/>
  <c r="J95" i="196"/>
  <c r="J92" i="196"/>
  <c r="J91" i="196"/>
  <c r="J90" i="196"/>
  <c r="J89" i="196"/>
  <c r="J88" i="196"/>
  <c r="J87" i="196"/>
  <c r="J86" i="196"/>
  <c r="J83" i="196"/>
  <c r="J78" i="196"/>
  <c r="J77" i="196"/>
  <c r="J76" i="196"/>
  <c r="J75" i="196"/>
  <c r="J71" i="196"/>
  <c r="J70" i="196"/>
  <c r="C68" i="196"/>
  <c r="E68" i="196" s="1"/>
  <c r="G68" i="196" s="1"/>
  <c r="I68" i="196" s="1"/>
  <c r="J62" i="196"/>
  <c r="J54" i="196"/>
  <c r="J53" i="196"/>
  <c r="J52" i="196"/>
  <c r="J49" i="196"/>
  <c r="J45" i="196"/>
  <c r="J43" i="196"/>
  <c r="J42" i="196"/>
  <c r="J39" i="196"/>
  <c r="J38" i="196"/>
  <c r="J37" i="196"/>
  <c r="C35" i="196"/>
  <c r="E35" i="196" s="1"/>
  <c r="G35" i="196" s="1"/>
  <c r="I35" i="196" s="1"/>
  <c r="J31" i="196"/>
  <c r="J30" i="196"/>
  <c r="J29" i="196"/>
  <c r="J28" i="196"/>
  <c r="J25" i="196"/>
  <c r="J23" i="196"/>
  <c r="J22" i="196"/>
  <c r="J19" i="196"/>
  <c r="J18" i="196"/>
  <c r="J17" i="196"/>
  <c r="J16" i="196"/>
  <c r="J15" i="196"/>
  <c r="J14" i="196"/>
  <c r="J13" i="196"/>
  <c r="J12" i="196"/>
  <c r="J9" i="196"/>
  <c r="J8" i="196"/>
  <c r="J7" i="196"/>
  <c r="C3" i="196"/>
  <c r="E3" i="196" s="1"/>
  <c r="G3" i="196" s="1"/>
  <c r="I3" i="196" s="1"/>
  <c r="F72" i="184"/>
  <c r="G72" i="184"/>
  <c r="H72" i="184"/>
  <c r="K72" i="184"/>
  <c r="L72" i="184"/>
  <c r="M72" i="184"/>
  <c r="B72" i="184"/>
  <c r="C72" i="184"/>
  <c r="D72" i="184"/>
  <c r="I72" i="183"/>
  <c r="N72" i="183"/>
  <c r="T72" i="183" s="1"/>
  <c r="E72" i="183"/>
  <c r="F35" i="184"/>
  <c r="G35" i="184"/>
  <c r="H35" i="184"/>
  <c r="K35" i="184"/>
  <c r="L35" i="184"/>
  <c r="M35" i="184"/>
  <c r="B35" i="184"/>
  <c r="C35" i="184"/>
  <c r="D35" i="184"/>
  <c r="N35" i="183"/>
  <c r="T35" i="183" s="1"/>
  <c r="I35" i="183"/>
  <c r="E35" i="183"/>
  <c r="N18" i="183"/>
  <c r="T18" i="183" s="1"/>
  <c r="N19" i="183"/>
  <c r="T19" i="183"/>
  <c r="N20" i="183"/>
  <c r="T20" i="183" s="1"/>
  <c r="N21" i="183"/>
  <c r="T21" i="183"/>
  <c r="I114" i="183"/>
  <c r="I113" i="183"/>
  <c r="I112" i="183"/>
  <c r="I111" i="183"/>
  <c r="O111" i="183" s="1"/>
  <c r="I110" i="183"/>
  <c r="I109" i="183"/>
  <c r="I108" i="183"/>
  <c r="D13" i="277"/>
  <c r="F13" i="277"/>
  <c r="G13" i="277"/>
  <c r="F6" i="278"/>
  <c r="E6" i="278" s="1"/>
  <c r="F16" i="278"/>
  <c r="E16" i="278" s="1"/>
  <c r="F30" i="278"/>
  <c r="E30" i="278" s="1"/>
  <c r="F36" i="278"/>
  <c r="E36" i="278" s="1"/>
  <c r="F44" i="278"/>
  <c r="E44" i="278" s="1"/>
  <c r="Q10" i="279"/>
  <c r="D10" i="279" s="1"/>
  <c r="Q16" i="279"/>
  <c r="D16" i="279" s="1"/>
  <c r="Q22" i="279"/>
  <c r="D22" i="279" s="1"/>
  <c r="I6" i="280"/>
  <c r="A8" i="280"/>
  <c r="A10" i="280" s="1"/>
  <c r="A12" i="280" s="1"/>
  <c r="A14" i="280" s="1"/>
  <c r="I8" i="280"/>
  <c r="O8" i="280"/>
  <c r="O10" i="280" s="1"/>
  <c r="O12" i="280" s="1"/>
  <c r="I10" i="280"/>
  <c r="I12" i="280"/>
  <c r="J12" i="280"/>
  <c r="K12" i="280"/>
  <c r="O6" i="281"/>
  <c r="P6" i="281"/>
  <c r="Q6" i="281"/>
  <c r="I8" i="281"/>
  <c r="O8" i="281" s="1"/>
  <c r="J8" i="281"/>
  <c r="P8" i="281" s="1"/>
  <c r="Q8" i="281"/>
  <c r="I10" i="281"/>
  <c r="O10" i="281" s="1"/>
  <c r="J10" i="281"/>
  <c r="P10" i="281" s="1"/>
  <c r="Q10" i="281"/>
  <c r="I12" i="281"/>
  <c r="O12" i="281" s="1"/>
  <c r="J12" i="281"/>
  <c r="P12" i="281"/>
  <c r="Q12" i="281"/>
  <c r="I14" i="281"/>
  <c r="J14" i="281"/>
  <c r="P14" i="281" s="1"/>
  <c r="O14" i="281"/>
  <c r="Q14" i="281"/>
  <c r="I16" i="281"/>
  <c r="O16" i="281" s="1"/>
  <c r="J16" i="281"/>
  <c r="P16" i="281" s="1"/>
  <c r="Q16" i="281"/>
  <c r="I18" i="281"/>
  <c r="O18" i="281" s="1"/>
  <c r="J18" i="281"/>
  <c r="P18" i="281" s="1"/>
  <c r="Q18" i="281"/>
  <c r="I20" i="281"/>
  <c r="O20" i="281" s="1"/>
  <c r="J20" i="281"/>
  <c r="P20" i="281" s="1"/>
  <c r="Q20" i="281"/>
  <c r="I22" i="281"/>
  <c r="O22" i="281" s="1"/>
  <c r="J22" i="281"/>
  <c r="P22" i="281" s="1"/>
  <c r="Q22" i="281"/>
  <c r="I24" i="281"/>
  <c r="J24" i="281"/>
  <c r="P24" i="281" s="1"/>
  <c r="K24" i="281"/>
  <c r="Q24" i="281" s="1"/>
  <c r="O24" i="281"/>
  <c r="I26" i="281"/>
  <c r="J26" i="281"/>
  <c r="P26" i="281" s="1"/>
  <c r="K26" i="281"/>
  <c r="Q26" i="281" s="1"/>
  <c r="O26" i="281"/>
  <c r="J28" i="281"/>
  <c r="P28" i="281" s="1"/>
  <c r="K28" i="281"/>
  <c r="Q28" i="281" s="1"/>
  <c r="O28" i="281"/>
  <c r="J5" i="283"/>
  <c r="K5" i="283"/>
  <c r="L5" i="283"/>
  <c r="M5" i="283"/>
  <c r="A7" i="283"/>
  <c r="J7" i="283" s="1"/>
  <c r="K7" i="283"/>
  <c r="L7" i="283"/>
  <c r="M7" i="283"/>
  <c r="J9" i="283"/>
  <c r="K9" i="283"/>
  <c r="L9" i="283"/>
  <c r="M9" i="283"/>
  <c r="J11" i="283"/>
  <c r="K11" i="283"/>
  <c r="L11" i="283"/>
  <c r="M11" i="283"/>
  <c r="D13" i="283"/>
  <c r="F13" i="283"/>
  <c r="G13" i="283"/>
  <c r="J13" i="283"/>
  <c r="K13" i="283"/>
  <c r="L13" i="283"/>
  <c r="M13" i="283"/>
  <c r="E6" i="284"/>
  <c r="F6" i="284"/>
  <c r="C6" i="284" s="1"/>
  <c r="F16" i="284"/>
  <c r="E16" i="284" s="1"/>
  <c r="F20" i="284"/>
  <c r="E20" i="284" s="1"/>
  <c r="F30" i="284"/>
  <c r="E30" i="284" s="1"/>
  <c r="F34" i="284"/>
  <c r="E34" i="284" s="1"/>
  <c r="C34" i="284"/>
  <c r="F44" i="284"/>
  <c r="E44" i="284" s="1"/>
  <c r="Q6" i="285"/>
  <c r="D6" i="285" s="1"/>
  <c r="D11" i="285"/>
  <c r="Q13" i="285"/>
  <c r="D13" i="285" s="1"/>
  <c r="Q20" i="285"/>
  <c r="D20" i="285" s="1"/>
  <c r="D26" i="286"/>
  <c r="E26" i="286"/>
  <c r="F26" i="286"/>
  <c r="G26" i="286"/>
  <c r="H26" i="286"/>
  <c r="D39" i="286"/>
  <c r="D43" i="286" s="1"/>
  <c r="D70" i="286" s="1"/>
  <c r="E39" i="286"/>
  <c r="F39" i="286"/>
  <c r="F43" i="286" s="1"/>
  <c r="F70" i="286" s="1"/>
  <c r="G39" i="286"/>
  <c r="G43" i="286" s="1"/>
  <c r="G70" i="286" s="1"/>
  <c r="H39" i="286"/>
  <c r="H43" i="286" s="1"/>
  <c r="H70" i="286" s="1"/>
  <c r="E43" i="286"/>
  <c r="E70" i="286" s="1"/>
  <c r="B71" i="286"/>
  <c r="C71" i="286"/>
  <c r="D71" i="286"/>
  <c r="E71" i="286"/>
  <c r="F71" i="286"/>
  <c r="G71" i="286"/>
  <c r="H71" i="286"/>
  <c r="B72" i="286"/>
  <c r="C72" i="286"/>
  <c r="D72" i="286"/>
  <c r="E72" i="286"/>
  <c r="F72" i="286"/>
  <c r="G72" i="286"/>
  <c r="H72" i="286"/>
  <c r="B73" i="286"/>
  <c r="C73" i="286"/>
  <c r="D73" i="286"/>
  <c r="E73" i="286"/>
  <c r="F73" i="286"/>
  <c r="G73" i="286"/>
  <c r="H73" i="286"/>
  <c r="B74" i="286"/>
  <c r="C74" i="286"/>
  <c r="D74" i="286"/>
  <c r="E74" i="286"/>
  <c r="F74" i="286"/>
  <c r="G74" i="286"/>
  <c r="H74" i="286"/>
  <c r="F12" i="276"/>
  <c r="E12" i="276"/>
  <c r="D12" i="276"/>
  <c r="C12" i="276"/>
  <c r="B12" i="276"/>
  <c r="I89" i="187"/>
  <c r="I103" i="187" s="1"/>
  <c r="I63" i="187"/>
  <c r="I71" i="187"/>
  <c r="I77" i="187"/>
  <c r="I17" i="187"/>
  <c r="I21" i="187"/>
  <c r="I25" i="187"/>
  <c r="I39" i="187"/>
  <c r="I43" i="187"/>
  <c r="I47" i="187"/>
  <c r="T44" i="261"/>
  <c r="U46" i="261"/>
  <c r="U43" i="261"/>
  <c r="U42" i="261"/>
  <c r="U41" i="261"/>
  <c r="U40" i="261"/>
  <c r="U39" i="261"/>
  <c r="U37" i="261"/>
  <c r="U36" i="261"/>
  <c r="U35" i="261"/>
  <c r="U34" i="261"/>
  <c r="U33" i="261"/>
  <c r="U31" i="261"/>
  <c r="U29" i="261"/>
  <c r="U28" i="261"/>
  <c r="U26" i="261"/>
  <c r="U27" i="261"/>
  <c r="U24" i="261"/>
  <c r="U23" i="261"/>
  <c r="U22" i="261"/>
  <c r="U21" i="261"/>
  <c r="U20" i="261"/>
  <c r="U18" i="261"/>
  <c r="U17" i="261"/>
  <c r="U16" i="261"/>
  <c r="U14" i="261"/>
  <c r="U13" i="261"/>
  <c r="U12" i="261"/>
  <c r="U11" i="261"/>
  <c r="U10" i="261"/>
  <c r="U9" i="261"/>
  <c r="U8" i="261"/>
  <c r="U7" i="261"/>
  <c r="U6" i="261"/>
  <c r="U5" i="261"/>
  <c r="I43" i="39"/>
  <c r="I44" i="39" s="1"/>
  <c r="I52" i="48"/>
  <c r="I56" i="48" s="1"/>
  <c r="I59" i="49"/>
  <c r="H39" i="196"/>
  <c r="F39" i="196"/>
  <c r="D39" i="196"/>
  <c r="E40" i="196"/>
  <c r="C40" i="196"/>
  <c r="F52" i="35"/>
  <c r="F56" i="35" s="1"/>
  <c r="S118" i="274"/>
  <c r="Q118" i="274"/>
  <c r="O118" i="274"/>
  <c r="M118" i="274"/>
  <c r="K118" i="274"/>
  <c r="I118" i="274"/>
  <c r="G118" i="274"/>
  <c r="U118" i="274"/>
  <c r="S78" i="274"/>
  <c r="U78" i="274"/>
  <c r="S77" i="274"/>
  <c r="U77" i="274"/>
  <c r="Q78" i="274"/>
  <c r="Q77" i="274"/>
  <c r="O78" i="274"/>
  <c r="O77" i="274"/>
  <c r="M78" i="274"/>
  <c r="M77" i="274"/>
  <c r="K78" i="274"/>
  <c r="K77" i="274"/>
  <c r="I78" i="274"/>
  <c r="I77" i="274"/>
  <c r="G78" i="274"/>
  <c r="G77" i="274"/>
  <c r="H110" i="159"/>
  <c r="F110" i="159"/>
  <c r="D110" i="159"/>
  <c r="T137" i="274"/>
  <c r="T130" i="274"/>
  <c r="T115" i="274"/>
  <c r="T34" i="274"/>
  <c r="T13" i="274"/>
  <c r="T22" i="274"/>
  <c r="T28" i="274"/>
  <c r="T35" i="274"/>
  <c r="T42" i="274"/>
  <c r="T52" i="274"/>
  <c r="T57" i="274"/>
  <c r="T66" i="274"/>
  <c r="T88" i="274"/>
  <c r="T97" i="274"/>
  <c r="T104" i="274"/>
  <c r="L130" i="274"/>
  <c r="L131" i="274" s="1"/>
  <c r="N88" i="274"/>
  <c r="N130" i="274"/>
  <c r="P88" i="274"/>
  <c r="P130" i="274"/>
  <c r="U130" i="274" s="1"/>
  <c r="R88" i="274"/>
  <c r="R130" i="274"/>
  <c r="U135" i="274"/>
  <c r="U134" i="274"/>
  <c r="U133" i="274"/>
  <c r="U129" i="274"/>
  <c r="U128" i="274"/>
  <c r="U127" i="274"/>
  <c r="U126" i="274"/>
  <c r="U125" i="274"/>
  <c r="U124" i="274"/>
  <c r="U123" i="274"/>
  <c r="U122" i="274"/>
  <c r="U121" i="274"/>
  <c r="U119" i="274"/>
  <c r="U117" i="274"/>
  <c r="U114" i="274"/>
  <c r="U113" i="274"/>
  <c r="U112" i="274"/>
  <c r="U111" i="274"/>
  <c r="U110" i="274"/>
  <c r="U109" i="274"/>
  <c r="U103" i="274"/>
  <c r="U102" i="274"/>
  <c r="U101" i="274"/>
  <c r="U100" i="274"/>
  <c r="U99" i="274"/>
  <c r="U96" i="274"/>
  <c r="U95" i="274"/>
  <c r="U94" i="274"/>
  <c r="U93" i="274"/>
  <c r="U92" i="274"/>
  <c r="U91" i="274"/>
  <c r="U90" i="274"/>
  <c r="U86" i="274"/>
  <c r="U85" i="274"/>
  <c r="U76" i="274"/>
  <c r="U74" i="274"/>
  <c r="U72" i="274"/>
  <c r="U71" i="274"/>
  <c r="U70" i="274"/>
  <c r="U64" i="274"/>
  <c r="U59" i="274"/>
  <c r="U56" i="274"/>
  <c r="U55" i="274"/>
  <c r="U51" i="274"/>
  <c r="U50" i="274"/>
  <c r="U47" i="274"/>
  <c r="U45" i="274"/>
  <c r="U41" i="274"/>
  <c r="U40" i="274"/>
  <c r="U39" i="274"/>
  <c r="U33" i="274"/>
  <c r="U32" i="274"/>
  <c r="U31" i="274"/>
  <c r="U30" i="274"/>
  <c r="U27" i="274"/>
  <c r="U26" i="274"/>
  <c r="U25" i="274"/>
  <c r="U24" i="274"/>
  <c r="U21" i="274"/>
  <c r="U20" i="274"/>
  <c r="U19" i="274"/>
  <c r="U12" i="274"/>
  <c r="U11" i="274"/>
  <c r="U10" i="274"/>
  <c r="U9" i="274"/>
  <c r="U8" i="274"/>
  <c r="U7" i="274"/>
  <c r="K27" i="29"/>
  <c r="I27" i="29"/>
  <c r="G27" i="29"/>
  <c r="E27" i="29"/>
  <c r="K6" i="29"/>
  <c r="K7" i="29"/>
  <c r="K8" i="29"/>
  <c r="K9" i="29"/>
  <c r="K10" i="29"/>
  <c r="K11" i="29"/>
  <c r="K12" i="29"/>
  <c r="K13" i="29"/>
  <c r="K14" i="29"/>
  <c r="K16" i="29"/>
  <c r="K17" i="29"/>
  <c r="K18" i="29"/>
  <c r="K19" i="29"/>
  <c r="K20" i="29"/>
  <c r="K21" i="29"/>
  <c r="K22" i="29"/>
  <c r="K23" i="29"/>
  <c r="K24" i="29"/>
  <c r="K26" i="29"/>
  <c r="K28" i="29"/>
  <c r="K29" i="29"/>
  <c r="K30" i="29"/>
  <c r="K31" i="29"/>
  <c r="K32" i="29"/>
  <c r="K34" i="29"/>
  <c r="K36" i="29"/>
  <c r="K37" i="29"/>
  <c r="K38" i="29"/>
  <c r="K39" i="29"/>
  <c r="K40" i="29"/>
  <c r="K41" i="29"/>
  <c r="K42" i="29"/>
  <c r="K43" i="29"/>
  <c r="K44" i="29"/>
  <c r="K47" i="29"/>
  <c r="K48" i="29"/>
  <c r="K51" i="29"/>
  <c r="F8" i="159"/>
  <c r="F7" i="159"/>
  <c r="D8" i="159"/>
  <c r="D7" i="159"/>
  <c r="H8" i="159"/>
  <c r="H7" i="159"/>
  <c r="H69" i="159"/>
  <c r="F69" i="159"/>
  <c r="D69" i="159"/>
  <c r="R137" i="274"/>
  <c r="R115" i="274"/>
  <c r="R131" i="274" s="1"/>
  <c r="R104" i="274"/>
  <c r="R97" i="274"/>
  <c r="R57" i="274"/>
  <c r="R52" i="274"/>
  <c r="S52" i="274" s="1"/>
  <c r="R42" i="274"/>
  <c r="R34" i="274"/>
  <c r="R28" i="274"/>
  <c r="R22" i="274"/>
  <c r="R6" i="274"/>
  <c r="P137" i="274"/>
  <c r="P115" i="274"/>
  <c r="P104" i="274"/>
  <c r="P97" i="274"/>
  <c r="P57" i="274"/>
  <c r="P52" i="274"/>
  <c r="P42" i="274"/>
  <c r="P34" i="274"/>
  <c r="P28" i="274"/>
  <c r="P22" i="274"/>
  <c r="P13" i="274"/>
  <c r="N136" i="274"/>
  <c r="W136" i="274" s="1"/>
  <c r="N115" i="274"/>
  <c r="N104" i="274"/>
  <c r="N97" i="274"/>
  <c r="S97" i="274" s="1"/>
  <c r="N54" i="274"/>
  <c r="W54" i="274" s="1"/>
  <c r="U54" i="274"/>
  <c r="N52" i="274"/>
  <c r="N42" i="274"/>
  <c r="N34" i="274"/>
  <c r="N28" i="274"/>
  <c r="N15" i="274"/>
  <c r="U15" i="274" s="1"/>
  <c r="N16" i="274"/>
  <c r="N17" i="274"/>
  <c r="U17" i="274" s="1"/>
  <c r="N18" i="274"/>
  <c r="N6" i="274"/>
  <c r="N13" i="274" s="1"/>
  <c r="L136" i="274"/>
  <c r="L137" i="274" s="1"/>
  <c r="L115" i="274"/>
  <c r="L104" i="274"/>
  <c r="L97" i="274"/>
  <c r="L73" i="274"/>
  <c r="L75" i="274"/>
  <c r="L87" i="274"/>
  <c r="L57" i="274"/>
  <c r="L52" i="274"/>
  <c r="L44" i="274"/>
  <c r="L48" i="274" s="1"/>
  <c r="U44" i="274"/>
  <c r="L42" i="274"/>
  <c r="L34" i="274"/>
  <c r="L28" i="274"/>
  <c r="L18" i="274"/>
  <c r="L13" i="274"/>
  <c r="J136" i="274"/>
  <c r="J137" i="274" s="1"/>
  <c r="J122" i="274"/>
  <c r="M122" i="274" s="1"/>
  <c r="J112" i="274"/>
  <c r="J104" i="274"/>
  <c r="J97" i="274"/>
  <c r="J73" i="274"/>
  <c r="J57" i="274"/>
  <c r="J52" i="274"/>
  <c r="J44" i="274"/>
  <c r="J48" i="274" s="1"/>
  <c r="J39" i="274"/>
  <c r="J34" i="274"/>
  <c r="J28" i="274"/>
  <c r="J18" i="274"/>
  <c r="J22" i="274" s="1"/>
  <c r="J13" i="274"/>
  <c r="J51" i="159"/>
  <c r="G40" i="159"/>
  <c r="J124" i="159"/>
  <c r="J25" i="159"/>
  <c r="G27" i="159"/>
  <c r="G121" i="159"/>
  <c r="J121" i="159" s="1"/>
  <c r="G107" i="159"/>
  <c r="G13" i="159"/>
  <c r="G22" i="159"/>
  <c r="G49" i="159"/>
  <c r="G54" i="159"/>
  <c r="G81" i="159"/>
  <c r="G89" i="159"/>
  <c r="G96" i="159"/>
  <c r="E81" i="159"/>
  <c r="E13" i="159"/>
  <c r="H13" i="159" s="1"/>
  <c r="E121" i="159"/>
  <c r="H127" i="159"/>
  <c r="H126" i="159"/>
  <c r="H125" i="159"/>
  <c r="H124" i="159"/>
  <c r="H120" i="159"/>
  <c r="H119" i="159"/>
  <c r="H118" i="159"/>
  <c r="H117" i="159"/>
  <c r="H116" i="159"/>
  <c r="H115" i="159"/>
  <c r="H114" i="159"/>
  <c r="H113" i="159"/>
  <c r="H111" i="159"/>
  <c r="H109" i="159"/>
  <c r="H106" i="159"/>
  <c r="H105" i="159"/>
  <c r="H104" i="159"/>
  <c r="H103" i="159"/>
  <c r="H102" i="159"/>
  <c r="H101" i="159"/>
  <c r="H95" i="159"/>
  <c r="H94" i="159"/>
  <c r="H93" i="159"/>
  <c r="H92" i="159"/>
  <c r="H88" i="159"/>
  <c r="H87" i="159"/>
  <c r="H86" i="159"/>
  <c r="H85" i="159"/>
  <c r="H84" i="159"/>
  <c r="H83" i="159"/>
  <c r="H79" i="159"/>
  <c r="H78" i="159"/>
  <c r="H71" i="159"/>
  <c r="H70" i="159"/>
  <c r="H68" i="159"/>
  <c r="H67" i="159"/>
  <c r="H61" i="159"/>
  <c r="H53" i="159"/>
  <c r="H52" i="159"/>
  <c r="H51" i="159"/>
  <c r="H48" i="159"/>
  <c r="H44" i="159"/>
  <c r="H38" i="159"/>
  <c r="H32" i="159"/>
  <c r="H31" i="159"/>
  <c r="H30" i="159"/>
  <c r="H29" i="159"/>
  <c r="H26" i="159"/>
  <c r="H25" i="159"/>
  <c r="H24" i="159"/>
  <c r="H20" i="159"/>
  <c r="H19" i="159"/>
  <c r="H18" i="159"/>
  <c r="H17" i="159"/>
  <c r="H16" i="159"/>
  <c r="H15" i="159"/>
  <c r="H12" i="159"/>
  <c r="H11" i="159"/>
  <c r="H10" i="159"/>
  <c r="H9" i="159"/>
  <c r="H6" i="159"/>
  <c r="G12" i="259"/>
  <c r="H13" i="239"/>
  <c r="Z9" i="239" s="1"/>
  <c r="F13" i="239"/>
  <c r="Z8" i="239" s="1"/>
  <c r="D13" i="239"/>
  <c r="C13" i="239"/>
  <c r="Z6" i="239" s="1"/>
  <c r="K68" i="161"/>
  <c r="L68" i="161"/>
  <c r="M68" i="161"/>
  <c r="K69" i="161"/>
  <c r="L69" i="161"/>
  <c r="M69" i="161"/>
  <c r="K70" i="161"/>
  <c r="L70" i="161"/>
  <c r="M70" i="161"/>
  <c r="K71" i="161"/>
  <c r="L71" i="161"/>
  <c r="M71" i="161"/>
  <c r="F68" i="161"/>
  <c r="G68" i="161"/>
  <c r="H68" i="161"/>
  <c r="F69" i="161"/>
  <c r="G69" i="161"/>
  <c r="H69" i="161"/>
  <c r="F70" i="161"/>
  <c r="G70" i="161"/>
  <c r="H70" i="161"/>
  <c r="F71" i="161"/>
  <c r="G71" i="161"/>
  <c r="H71" i="161"/>
  <c r="B68" i="161"/>
  <c r="C68" i="161"/>
  <c r="D68" i="161"/>
  <c r="B69" i="161"/>
  <c r="C69" i="161"/>
  <c r="D69" i="161"/>
  <c r="B70" i="161"/>
  <c r="C70" i="161"/>
  <c r="D70" i="161"/>
  <c r="B71" i="161"/>
  <c r="C71" i="161"/>
  <c r="D71" i="161"/>
  <c r="K114" i="160"/>
  <c r="K91" i="160"/>
  <c r="K97" i="160"/>
  <c r="K52" i="160"/>
  <c r="K59" i="160"/>
  <c r="K79" i="160"/>
  <c r="K37" i="160"/>
  <c r="K42" i="160" s="1"/>
  <c r="K21" i="160"/>
  <c r="K15" i="160"/>
  <c r="L114" i="160"/>
  <c r="L91" i="160"/>
  <c r="L97" i="160"/>
  <c r="L52" i="160"/>
  <c r="L59" i="160"/>
  <c r="L79" i="160"/>
  <c r="L37" i="160"/>
  <c r="L42" i="160" s="1"/>
  <c r="L21" i="160"/>
  <c r="L15" i="160"/>
  <c r="N68" i="160"/>
  <c r="I68" i="160"/>
  <c r="N69" i="160"/>
  <c r="T69" i="160" s="1"/>
  <c r="N70" i="160"/>
  <c r="N71" i="160"/>
  <c r="T71" i="160" s="1"/>
  <c r="I69" i="160"/>
  <c r="J69" i="160" s="1"/>
  <c r="I70" i="160"/>
  <c r="I71" i="160"/>
  <c r="J71" i="160" s="1"/>
  <c r="F53" i="34"/>
  <c r="S92" i="274"/>
  <c r="Q92" i="274"/>
  <c r="O92" i="274"/>
  <c r="M92" i="274"/>
  <c r="K92" i="274"/>
  <c r="I92" i="274"/>
  <c r="G92" i="274"/>
  <c r="S74" i="274"/>
  <c r="Q74" i="274"/>
  <c r="O74" i="274"/>
  <c r="M74" i="274"/>
  <c r="K74" i="274"/>
  <c r="I74" i="274"/>
  <c r="G74" i="274"/>
  <c r="H44" i="274"/>
  <c r="F44" i="274"/>
  <c r="H47" i="274"/>
  <c r="M47" i="274" s="1"/>
  <c r="S45" i="274"/>
  <c r="Q45" i="274"/>
  <c r="O45" i="274"/>
  <c r="M45" i="274"/>
  <c r="K45" i="274"/>
  <c r="I45" i="274"/>
  <c r="G45" i="274"/>
  <c r="H6" i="274"/>
  <c r="H13" i="274" s="1"/>
  <c r="I6" i="274"/>
  <c r="S7" i="274"/>
  <c r="Q7" i="274"/>
  <c r="O7" i="274"/>
  <c r="M7" i="274"/>
  <c r="K7" i="274"/>
  <c r="I7" i="274"/>
  <c r="G7" i="274"/>
  <c r="H4" i="274"/>
  <c r="J4" i="274" s="1"/>
  <c r="L4" i="274" s="1"/>
  <c r="N4" i="274" s="1"/>
  <c r="P4" i="274" s="1"/>
  <c r="R4" i="274" s="1"/>
  <c r="T4" i="274" s="1"/>
  <c r="V4" i="274" s="1"/>
  <c r="X4" i="274" s="1"/>
  <c r="Z4" i="274" s="1"/>
  <c r="AB4" i="274" s="1"/>
  <c r="AD4" i="274" s="1"/>
  <c r="G6" i="274"/>
  <c r="O6" i="274"/>
  <c r="G8" i="274"/>
  <c r="I8" i="274"/>
  <c r="K8" i="274"/>
  <c r="M8" i="274"/>
  <c r="O8" i="274"/>
  <c r="Q8" i="274"/>
  <c r="S8" i="274"/>
  <c r="G9" i="274"/>
  <c r="I9" i="274"/>
  <c r="K9" i="274"/>
  <c r="M9" i="274"/>
  <c r="O9" i="274"/>
  <c r="Q9" i="274"/>
  <c r="S9" i="274"/>
  <c r="G10" i="274"/>
  <c r="I10" i="274"/>
  <c r="K10" i="274"/>
  <c r="M10" i="274"/>
  <c r="O10" i="274"/>
  <c r="Q10" i="274"/>
  <c r="S10" i="274"/>
  <c r="G11" i="274"/>
  <c r="I11" i="274"/>
  <c r="K11" i="274"/>
  <c r="M11" i="274"/>
  <c r="O11" i="274"/>
  <c r="Q11" i="274"/>
  <c r="S11" i="274"/>
  <c r="G12" i="274"/>
  <c r="I12" i="274"/>
  <c r="K12" i="274"/>
  <c r="M12" i="274"/>
  <c r="O12" i="274"/>
  <c r="Q12" i="274"/>
  <c r="S12" i="274"/>
  <c r="B13" i="274"/>
  <c r="C13" i="274"/>
  <c r="D13" i="274"/>
  <c r="E13" i="274"/>
  <c r="F13" i="274"/>
  <c r="G15" i="274"/>
  <c r="I15" i="274"/>
  <c r="K15" i="274"/>
  <c r="M15" i="274"/>
  <c r="O15" i="274"/>
  <c r="Q15" i="274"/>
  <c r="G16" i="274"/>
  <c r="I16" i="274"/>
  <c r="K16" i="274"/>
  <c r="M16" i="274"/>
  <c r="O16" i="274"/>
  <c r="G17" i="274"/>
  <c r="I17" i="274"/>
  <c r="K17" i="274"/>
  <c r="M17" i="274"/>
  <c r="Q17" i="274"/>
  <c r="S17" i="274"/>
  <c r="G18" i="274"/>
  <c r="I18" i="274"/>
  <c r="K18" i="274"/>
  <c r="S18" i="274"/>
  <c r="Q19" i="274"/>
  <c r="S19" i="274"/>
  <c r="G20" i="274"/>
  <c r="I20" i="274"/>
  <c r="K20" i="274"/>
  <c r="M20" i="274"/>
  <c r="O20" i="274"/>
  <c r="Q20" i="274"/>
  <c r="S20" i="274"/>
  <c r="G21" i="274"/>
  <c r="I21" i="274"/>
  <c r="K21" i="274"/>
  <c r="M21" i="274"/>
  <c r="O21" i="274"/>
  <c r="Q21" i="274"/>
  <c r="S21" i="274"/>
  <c r="B22" i="274"/>
  <c r="C22" i="274"/>
  <c r="D22" i="274"/>
  <c r="E22" i="274"/>
  <c r="F22" i="274"/>
  <c r="H22" i="274"/>
  <c r="G24" i="274"/>
  <c r="H24" i="274"/>
  <c r="S24" i="274"/>
  <c r="G25" i="274"/>
  <c r="I25" i="274"/>
  <c r="K25" i="274"/>
  <c r="M25" i="274"/>
  <c r="O25" i="274"/>
  <c r="Q25" i="274"/>
  <c r="S25" i="274"/>
  <c r="G26" i="274"/>
  <c r="I26" i="274"/>
  <c r="K26" i="274"/>
  <c r="M26" i="274"/>
  <c r="O26" i="274"/>
  <c r="Q26" i="274"/>
  <c r="S26" i="274"/>
  <c r="G27" i="274"/>
  <c r="I27" i="274"/>
  <c r="K27" i="274"/>
  <c r="M27" i="274"/>
  <c r="O27" i="274"/>
  <c r="Q27" i="274"/>
  <c r="S27" i="274"/>
  <c r="B28" i="274"/>
  <c r="C28" i="274"/>
  <c r="D28" i="274"/>
  <c r="E28" i="274"/>
  <c r="F28" i="274"/>
  <c r="H28" i="274"/>
  <c r="G30" i="274"/>
  <c r="I30" i="274"/>
  <c r="K30" i="274"/>
  <c r="M30" i="274"/>
  <c r="O30" i="274"/>
  <c r="Q30" i="274"/>
  <c r="S30" i="274"/>
  <c r="G31" i="274"/>
  <c r="I31" i="274"/>
  <c r="K31" i="274"/>
  <c r="M31" i="274"/>
  <c r="O31" i="274"/>
  <c r="Q31" i="274"/>
  <c r="S31" i="274"/>
  <c r="G32" i="274"/>
  <c r="I32" i="274"/>
  <c r="K32" i="274"/>
  <c r="M32" i="274"/>
  <c r="O32" i="274"/>
  <c r="Q32" i="274"/>
  <c r="S32" i="274"/>
  <c r="G33" i="274"/>
  <c r="I33" i="274"/>
  <c r="K33" i="274"/>
  <c r="M33" i="274"/>
  <c r="O33" i="274"/>
  <c r="Q33" i="274"/>
  <c r="S33" i="274"/>
  <c r="B34" i="274"/>
  <c r="C34" i="274"/>
  <c r="D34" i="274"/>
  <c r="E34" i="274"/>
  <c r="F34" i="274"/>
  <c r="F35" i="274" s="1"/>
  <c r="H34" i="274"/>
  <c r="H37" i="274"/>
  <c r="J37" i="274"/>
  <c r="L37" i="274" s="1"/>
  <c r="N37" i="274" s="1"/>
  <c r="P37" i="274" s="1"/>
  <c r="R37" i="274" s="1"/>
  <c r="T37" i="274" s="1"/>
  <c r="V37" i="274" s="1"/>
  <c r="X37" i="274" s="1"/>
  <c r="Z37" i="274" s="1"/>
  <c r="AB37" i="274" s="1"/>
  <c r="AD37" i="274" s="1"/>
  <c r="G39" i="274"/>
  <c r="I39" i="274"/>
  <c r="M39" i="274"/>
  <c r="G40" i="274"/>
  <c r="H40" i="274"/>
  <c r="I40" i="274" s="1"/>
  <c r="S40" i="274"/>
  <c r="G41" i="274"/>
  <c r="I41" i="274"/>
  <c r="K41" i="274"/>
  <c r="M41" i="274"/>
  <c r="O41" i="274"/>
  <c r="Q41" i="274"/>
  <c r="S41" i="274"/>
  <c r="B42" i="274"/>
  <c r="C42" i="274"/>
  <c r="D42" i="274"/>
  <c r="D66" i="274" s="1"/>
  <c r="E42" i="274"/>
  <c r="F42" i="274"/>
  <c r="H42" i="274"/>
  <c r="S44" i="274"/>
  <c r="G47" i="274"/>
  <c r="I47" i="274"/>
  <c r="K47" i="274"/>
  <c r="O47" i="274"/>
  <c r="Q47" i="274"/>
  <c r="S47" i="274"/>
  <c r="G50" i="274"/>
  <c r="I50" i="274"/>
  <c r="K50" i="274"/>
  <c r="M50" i="274"/>
  <c r="O50" i="274"/>
  <c r="Q50" i="274"/>
  <c r="S50" i="274"/>
  <c r="G51" i="274"/>
  <c r="I51" i="274"/>
  <c r="K51" i="274"/>
  <c r="M51" i="274"/>
  <c r="O51" i="274"/>
  <c r="Q51" i="274"/>
  <c r="S51" i="274"/>
  <c r="B52" i="274"/>
  <c r="C52" i="274"/>
  <c r="D52" i="274"/>
  <c r="E52" i="274"/>
  <c r="F52" i="274"/>
  <c r="H52" i="274"/>
  <c r="G54" i="274"/>
  <c r="I54" i="274"/>
  <c r="K54" i="274"/>
  <c r="M54" i="274"/>
  <c r="O54" i="274"/>
  <c r="Q54" i="274"/>
  <c r="S54" i="274"/>
  <c r="G55" i="274"/>
  <c r="I55" i="274"/>
  <c r="K55" i="274"/>
  <c r="M55" i="274"/>
  <c r="O55" i="274"/>
  <c r="Q55" i="274"/>
  <c r="S55" i="274"/>
  <c r="G56" i="274"/>
  <c r="H56" i="274"/>
  <c r="S56" i="274"/>
  <c r="B57" i="274"/>
  <c r="C57" i="274"/>
  <c r="D57" i="274"/>
  <c r="E57" i="274"/>
  <c r="E66" i="274" s="1"/>
  <c r="F57" i="274"/>
  <c r="G59" i="274"/>
  <c r="I59" i="274"/>
  <c r="K59" i="274"/>
  <c r="M59" i="274"/>
  <c r="O59" i="274"/>
  <c r="Q59" i="274"/>
  <c r="S59" i="274"/>
  <c r="G64" i="274"/>
  <c r="K64" i="274"/>
  <c r="M64" i="274"/>
  <c r="O64" i="274"/>
  <c r="Q64" i="274"/>
  <c r="S64" i="274"/>
  <c r="S65" i="274"/>
  <c r="H68" i="274"/>
  <c r="J68" i="274" s="1"/>
  <c r="L68" i="274" s="1"/>
  <c r="N68" i="274" s="1"/>
  <c r="P68" i="274" s="1"/>
  <c r="R68" i="274" s="1"/>
  <c r="T68" i="274" s="1"/>
  <c r="V68" i="274" s="1"/>
  <c r="X68" i="274" s="1"/>
  <c r="Z68" i="274" s="1"/>
  <c r="AB68" i="274" s="1"/>
  <c r="AD68" i="274" s="1"/>
  <c r="G70" i="274"/>
  <c r="I70" i="274"/>
  <c r="K70" i="274"/>
  <c r="M70" i="274"/>
  <c r="O70" i="274"/>
  <c r="Q70" i="274"/>
  <c r="S70" i="274"/>
  <c r="G71" i="274"/>
  <c r="I71" i="274"/>
  <c r="K71" i="274"/>
  <c r="M71" i="274"/>
  <c r="O71" i="274"/>
  <c r="Q71" i="274"/>
  <c r="S71" i="274"/>
  <c r="G72" i="274"/>
  <c r="I72" i="274"/>
  <c r="K72" i="274"/>
  <c r="M72" i="274"/>
  <c r="O72" i="274"/>
  <c r="Q72" i="274"/>
  <c r="S72" i="274"/>
  <c r="G73" i="274"/>
  <c r="H73" i="274"/>
  <c r="I73" i="274" s="1"/>
  <c r="G75" i="274"/>
  <c r="I75" i="274"/>
  <c r="K75" i="274"/>
  <c r="M75" i="274"/>
  <c r="O75" i="274"/>
  <c r="Q75" i="274"/>
  <c r="S75" i="274"/>
  <c r="G76" i="274"/>
  <c r="I76" i="274"/>
  <c r="K76" i="274"/>
  <c r="M76" i="274"/>
  <c r="O76" i="274"/>
  <c r="Q76" i="274"/>
  <c r="S76" i="274"/>
  <c r="G85" i="274"/>
  <c r="I85" i="274"/>
  <c r="K85" i="274"/>
  <c r="M85" i="274"/>
  <c r="O85" i="274"/>
  <c r="Q85" i="274"/>
  <c r="S85" i="274"/>
  <c r="G86" i="274"/>
  <c r="I86" i="274"/>
  <c r="K86" i="274"/>
  <c r="M86" i="274"/>
  <c r="O86" i="274"/>
  <c r="Q86" i="274"/>
  <c r="S86" i="274"/>
  <c r="G87" i="274"/>
  <c r="H87" i="274"/>
  <c r="B88" i="274"/>
  <c r="C88" i="274"/>
  <c r="D88" i="274"/>
  <c r="E88" i="274"/>
  <c r="F88" i="274"/>
  <c r="G90" i="274"/>
  <c r="I90" i="274"/>
  <c r="K90" i="274"/>
  <c r="M90" i="274"/>
  <c r="O90" i="274"/>
  <c r="Q90" i="274"/>
  <c r="S90" i="274"/>
  <c r="F91" i="274"/>
  <c r="Q91" i="274"/>
  <c r="S91" i="274"/>
  <c r="F93" i="274"/>
  <c r="M93" i="274" s="1"/>
  <c r="Q93" i="274"/>
  <c r="S93" i="274"/>
  <c r="G94" i="274"/>
  <c r="I94" i="274"/>
  <c r="K94" i="274"/>
  <c r="M94" i="274"/>
  <c r="O94" i="274"/>
  <c r="Q94" i="274"/>
  <c r="S94" i="274"/>
  <c r="G95" i="274"/>
  <c r="I95" i="274"/>
  <c r="K95" i="274"/>
  <c r="M95" i="274"/>
  <c r="O95" i="274"/>
  <c r="Q95" i="274"/>
  <c r="S95" i="274"/>
  <c r="G96" i="274"/>
  <c r="I96" i="274"/>
  <c r="K96" i="274"/>
  <c r="M96" i="274"/>
  <c r="O96" i="274"/>
  <c r="Q96" i="274"/>
  <c r="S96" i="274"/>
  <c r="B97" i="274"/>
  <c r="C97" i="274"/>
  <c r="D97" i="274"/>
  <c r="E97" i="274"/>
  <c r="H97" i="274"/>
  <c r="G99" i="274"/>
  <c r="H99" i="274"/>
  <c r="I99" i="274" s="1"/>
  <c r="S99" i="274"/>
  <c r="G100" i="274"/>
  <c r="I100" i="274"/>
  <c r="K100" i="274"/>
  <c r="M100" i="274"/>
  <c r="O100" i="274"/>
  <c r="Q100" i="274"/>
  <c r="S100" i="274"/>
  <c r="G101" i="274"/>
  <c r="I101" i="274"/>
  <c r="K101" i="274"/>
  <c r="M101" i="274"/>
  <c r="O101" i="274"/>
  <c r="Q101" i="274"/>
  <c r="S101" i="274"/>
  <c r="G102" i="274"/>
  <c r="I102" i="274"/>
  <c r="K102" i="274"/>
  <c r="M102" i="274"/>
  <c r="O102" i="274"/>
  <c r="Q102" i="274"/>
  <c r="S102" i="274"/>
  <c r="G103" i="274"/>
  <c r="I103" i="274"/>
  <c r="K103" i="274"/>
  <c r="M103" i="274"/>
  <c r="O103" i="274"/>
  <c r="Q103" i="274"/>
  <c r="S103" i="274"/>
  <c r="B104" i="274"/>
  <c r="C104" i="274"/>
  <c r="D104" i="274"/>
  <c r="E104" i="274"/>
  <c r="F104" i="274"/>
  <c r="H107" i="274"/>
  <c r="J107" i="274" s="1"/>
  <c r="L107" i="274" s="1"/>
  <c r="N107" i="274" s="1"/>
  <c r="P107" i="274" s="1"/>
  <c r="R107" i="274" s="1"/>
  <c r="T107" i="274" s="1"/>
  <c r="V107" i="274" s="1"/>
  <c r="X107" i="274" s="1"/>
  <c r="Z107" i="274" s="1"/>
  <c r="AB107" i="274" s="1"/>
  <c r="AD107" i="274" s="1"/>
  <c r="G109" i="274"/>
  <c r="I109" i="274"/>
  <c r="K109" i="274"/>
  <c r="M109" i="274"/>
  <c r="O109" i="274"/>
  <c r="Q109" i="274"/>
  <c r="S109" i="274"/>
  <c r="G110" i="274"/>
  <c r="I110" i="274"/>
  <c r="K110" i="274"/>
  <c r="M110" i="274"/>
  <c r="O110" i="274"/>
  <c r="Q110" i="274"/>
  <c r="S110" i="274"/>
  <c r="G111" i="274"/>
  <c r="I111" i="274"/>
  <c r="K111" i="274"/>
  <c r="M111" i="274"/>
  <c r="O111" i="274"/>
  <c r="Q111" i="274"/>
  <c r="S111" i="274"/>
  <c r="G112" i="274"/>
  <c r="I112" i="274"/>
  <c r="O112" i="274"/>
  <c r="G113" i="274"/>
  <c r="I113" i="274"/>
  <c r="K113" i="274"/>
  <c r="M113" i="274"/>
  <c r="O113" i="274"/>
  <c r="Q113" i="274"/>
  <c r="S113" i="274"/>
  <c r="G114" i="274"/>
  <c r="I114" i="274"/>
  <c r="K114" i="274"/>
  <c r="M114" i="274"/>
  <c r="O114" i="274"/>
  <c r="Q114" i="274"/>
  <c r="S114" i="274"/>
  <c r="B115" i="274"/>
  <c r="C115" i="274"/>
  <c r="D115" i="274"/>
  <c r="E115" i="274"/>
  <c r="F115" i="274"/>
  <c r="H115" i="274"/>
  <c r="G117" i="274"/>
  <c r="I117" i="274"/>
  <c r="K117" i="274"/>
  <c r="M117" i="274"/>
  <c r="O117" i="274"/>
  <c r="Q117" i="274"/>
  <c r="S117" i="274"/>
  <c r="G119" i="274"/>
  <c r="H119" i="274"/>
  <c r="I119" i="274" s="1"/>
  <c r="K119" i="274"/>
  <c r="S119" i="274"/>
  <c r="G121" i="274"/>
  <c r="I121" i="274"/>
  <c r="K121" i="274"/>
  <c r="M121" i="274"/>
  <c r="O121" i="274"/>
  <c r="Q121" i="274"/>
  <c r="S121" i="274"/>
  <c r="G122" i="274"/>
  <c r="I122" i="274"/>
  <c r="G123" i="274"/>
  <c r="I123" i="274"/>
  <c r="K123" i="274"/>
  <c r="M123" i="274"/>
  <c r="O123" i="274"/>
  <c r="Q123" i="274"/>
  <c r="S123" i="274"/>
  <c r="G124" i="274"/>
  <c r="I124" i="274"/>
  <c r="K124" i="274"/>
  <c r="M124" i="274"/>
  <c r="O124" i="274"/>
  <c r="Q124" i="274"/>
  <c r="S124" i="274"/>
  <c r="G125" i="274"/>
  <c r="I125" i="274"/>
  <c r="K125" i="274"/>
  <c r="M125" i="274"/>
  <c r="O125" i="274"/>
  <c r="Q125" i="274"/>
  <c r="S125" i="274"/>
  <c r="G126" i="274"/>
  <c r="I126" i="274"/>
  <c r="K126" i="274"/>
  <c r="M126" i="274"/>
  <c r="O126" i="274"/>
  <c r="Q126" i="274"/>
  <c r="S126" i="274"/>
  <c r="G127" i="274"/>
  <c r="I127" i="274"/>
  <c r="K127" i="274"/>
  <c r="M127" i="274"/>
  <c r="O127" i="274"/>
  <c r="Q127" i="274"/>
  <c r="S127" i="274"/>
  <c r="G128" i="274"/>
  <c r="I128" i="274"/>
  <c r="K128" i="274"/>
  <c r="M128" i="274"/>
  <c r="O128" i="274"/>
  <c r="Q128" i="274"/>
  <c r="S128" i="274"/>
  <c r="G129" i="274"/>
  <c r="I129" i="274"/>
  <c r="K129" i="274"/>
  <c r="M129" i="274"/>
  <c r="O129" i="274"/>
  <c r="Q129" i="274"/>
  <c r="S129" i="274"/>
  <c r="B130" i="274"/>
  <c r="C130" i="274"/>
  <c r="C131" i="274" s="1"/>
  <c r="D130" i="274"/>
  <c r="D131" i="274" s="1"/>
  <c r="E130" i="274"/>
  <c r="F130" i="274"/>
  <c r="F131" i="274" s="1"/>
  <c r="H130" i="274"/>
  <c r="G133" i="274"/>
  <c r="I133" i="274"/>
  <c r="K133" i="274"/>
  <c r="M133" i="274"/>
  <c r="O133" i="274"/>
  <c r="Q133" i="274"/>
  <c r="S133" i="274"/>
  <c r="G134" i="274"/>
  <c r="I134" i="274"/>
  <c r="K134" i="274"/>
  <c r="M134" i="274"/>
  <c r="O134" i="274"/>
  <c r="Q134" i="274"/>
  <c r="S134" i="274"/>
  <c r="G135" i="274"/>
  <c r="I135" i="274"/>
  <c r="K135" i="274"/>
  <c r="M135" i="274"/>
  <c r="O135" i="274"/>
  <c r="Q135" i="274"/>
  <c r="S135" i="274"/>
  <c r="G136" i="274"/>
  <c r="H136" i="274"/>
  <c r="S136" i="274"/>
  <c r="B137" i="274"/>
  <c r="C137" i="274"/>
  <c r="D137" i="274"/>
  <c r="E137" i="274"/>
  <c r="F137" i="274"/>
  <c r="W106" i="186"/>
  <c r="V106" i="186"/>
  <c r="U106" i="186"/>
  <c r="W104" i="186"/>
  <c r="V104" i="186"/>
  <c r="U104" i="186"/>
  <c r="W103" i="186"/>
  <c r="V103" i="186"/>
  <c r="U103" i="186"/>
  <c r="W97" i="186"/>
  <c r="V97" i="186"/>
  <c r="U97" i="186"/>
  <c r="W96" i="186"/>
  <c r="V96" i="186"/>
  <c r="U96" i="186"/>
  <c r="W93" i="186"/>
  <c r="V93" i="186"/>
  <c r="U93" i="186"/>
  <c r="W92" i="186"/>
  <c r="V92" i="186"/>
  <c r="U92" i="186"/>
  <c r="W91" i="186"/>
  <c r="V91" i="186"/>
  <c r="U91" i="186"/>
  <c r="W90" i="186"/>
  <c r="V90" i="186"/>
  <c r="U90" i="186"/>
  <c r="W89" i="186"/>
  <c r="V89" i="186"/>
  <c r="U89" i="186"/>
  <c r="W86" i="186"/>
  <c r="V86" i="186"/>
  <c r="U86" i="186"/>
  <c r="W85" i="186"/>
  <c r="V85" i="186"/>
  <c r="U85" i="186"/>
  <c r="W82" i="186"/>
  <c r="V82" i="186"/>
  <c r="U82" i="186"/>
  <c r="W81" i="186"/>
  <c r="V81" i="186"/>
  <c r="U81" i="186"/>
  <c r="W72" i="186"/>
  <c r="V72" i="186"/>
  <c r="U72" i="186"/>
  <c r="W71" i="186"/>
  <c r="V71" i="186"/>
  <c r="U71" i="186"/>
  <c r="W67" i="186"/>
  <c r="V67" i="186"/>
  <c r="U67" i="186"/>
  <c r="W66" i="186"/>
  <c r="V66" i="186"/>
  <c r="U66" i="186"/>
  <c r="W65" i="186"/>
  <c r="V65" i="186"/>
  <c r="U65" i="186"/>
  <c r="W57" i="186"/>
  <c r="V57" i="186"/>
  <c r="U57" i="186"/>
  <c r="W56" i="186"/>
  <c r="W61" i="186" s="1"/>
  <c r="V56" i="186"/>
  <c r="U56" i="186"/>
  <c r="W52" i="186"/>
  <c r="V52" i="186"/>
  <c r="U52" i="186"/>
  <c r="W50" i="186"/>
  <c r="V50" i="186"/>
  <c r="U50" i="186"/>
  <c r="W49" i="186"/>
  <c r="V49" i="186"/>
  <c r="U49" i="186"/>
  <c r="W48" i="186"/>
  <c r="V48" i="186"/>
  <c r="U48" i="186"/>
  <c r="W45" i="186"/>
  <c r="W46" i="186" s="1"/>
  <c r="V45" i="186"/>
  <c r="U45" i="186"/>
  <c r="U46" i="186" s="1"/>
  <c r="M106" i="186"/>
  <c r="L106" i="186"/>
  <c r="K106" i="186"/>
  <c r="M104" i="186"/>
  <c r="L104" i="186"/>
  <c r="K104" i="186"/>
  <c r="M103" i="186"/>
  <c r="L103" i="186"/>
  <c r="K103" i="186"/>
  <c r="M97" i="186"/>
  <c r="L97" i="186"/>
  <c r="K97" i="186"/>
  <c r="M96" i="186"/>
  <c r="L96" i="186"/>
  <c r="K96" i="186"/>
  <c r="M93" i="186"/>
  <c r="L93" i="186"/>
  <c r="K93" i="186"/>
  <c r="M92" i="186"/>
  <c r="L92" i="186"/>
  <c r="K92" i="186"/>
  <c r="M91" i="186"/>
  <c r="L91" i="186"/>
  <c r="K91" i="186"/>
  <c r="M90" i="186"/>
  <c r="L90" i="186"/>
  <c r="K90" i="186"/>
  <c r="M89" i="186"/>
  <c r="L89" i="186"/>
  <c r="K89" i="186"/>
  <c r="M86" i="186"/>
  <c r="L86" i="186"/>
  <c r="K86" i="186"/>
  <c r="M85" i="186"/>
  <c r="L85" i="186"/>
  <c r="K85" i="186"/>
  <c r="M82" i="186"/>
  <c r="L82" i="186"/>
  <c r="K82" i="186"/>
  <c r="M81" i="186"/>
  <c r="L81" i="186"/>
  <c r="K81" i="186"/>
  <c r="M72" i="186"/>
  <c r="L72" i="186"/>
  <c r="K72" i="186"/>
  <c r="M71" i="186"/>
  <c r="L71" i="186"/>
  <c r="K71" i="186"/>
  <c r="M67" i="186"/>
  <c r="L67" i="186"/>
  <c r="K67" i="186"/>
  <c r="M66" i="186"/>
  <c r="L66" i="186"/>
  <c r="K66" i="186"/>
  <c r="M65" i="186"/>
  <c r="L65" i="186"/>
  <c r="K65" i="186"/>
  <c r="M57" i="186"/>
  <c r="L57" i="186"/>
  <c r="K57" i="186"/>
  <c r="M56" i="186"/>
  <c r="L56" i="186"/>
  <c r="K56" i="186"/>
  <c r="K61" i="186" s="1"/>
  <c r="M52" i="186"/>
  <c r="L52" i="186"/>
  <c r="K52" i="186"/>
  <c r="M50" i="186"/>
  <c r="L50" i="186"/>
  <c r="K50" i="186"/>
  <c r="M49" i="186"/>
  <c r="L49" i="186"/>
  <c r="K49" i="186"/>
  <c r="M48" i="186"/>
  <c r="L48" i="186"/>
  <c r="K48" i="186"/>
  <c r="M45" i="186"/>
  <c r="M46" i="186" s="1"/>
  <c r="L45" i="186"/>
  <c r="L46" i="186" s="1"/>
  <c r="K45" i="186"/>
  <c r="M37" i="186"/>
  <c r="L37" i="186"/>
  <c r="K37" i="186"/>
  <c r="M35" i="186"/>
  <c r="L35" i="186"/>
  <c r="K35" i="186"/>
  <c r="M32" i="186"/>
  <c r="L32" i="186"/>
  <c r="K32" i="186"/>
  <c r="M30" i="186"/>
  <c r="L30" i="186"/>
  <c r="K30" i="186"/>
  <c r="M29" i="186"/>
  <c r="L29" i="186"/>
  <c r="K29" i="186"/>
  <c r="M28" i="186"/>
  <c r="L28" i="186"/>
  <c r="K28" i="186"/>
  <c r="W37" i="186"/>
  <c r="V37" i="186"/>
  <c r="U37" i="186"/>
  <c r="W35" i="186"/>
  <c r="V35" i="186"/>
  <c r="U35" i="186"/>
  <c r="W32" i="186"/>
  <c r="V32" i="186"/>
  <c r="U32" i="186"/>
  <c r="W30" i="186"/>
  <c r="V30" i="186"/>
  <c r="U30" i="186"/>
  <c r="W29" i="186"/>
  <c r="V29" i="186"/>
  <c r="U29" i="186"/>
  <c r="W28" i="186"/>
  <c r="V28" i="186"/>
  <c r="U28" i="186"/>
  <c r="W19" i="186"/>
  <c r="V19" i="186"/>
  <c r="U19" i="186"/>
  <c r="W18" i="186"/>
  <c r="V18" i="186"/>
  <c r="U18" i="186"/>
  <c r="W17" i="186"/>
  <c r="V17" i="186"/>
  <c r="U17" i="186"/>
  <c r="M19" i="186"/>
  <c r="L19" i="186"/>
  <c r="K19" i="186"/>
  <c r="M18" i="186"/>
  <c r="L18" i="186"/>
  <c r="K18" i="186"/>
  <c r="M17" i="186"/>
  <c r="L17" i="186"/>
  <c r="K17" i="186"/>
  <c r="U8" i="186"/>
  <c r="V8" i="186"/>
  <c r="W8" i="186"/>
  <c r="U9" i="186"/>
  <c r="V9" i="186"/>
  <c r="W9" i="186"/>
  <c r="U10" i="186"/>
  <c r="V10" i="186"/>
  <c r="W10" i="186"/>
  <c r="U11" i="186"/>
  <c r="V11" i="186"/>
  <c r="W11" i="186"/>
  <c r="U12" i="186"/>
  <c r="V12" i="186"/>
  <c r="W12" i="186"/>
  <c r="U13" i="186"/>
  <c r="V13" i="186"/>
  <c r="W13" i="186"/>
  <c r="U14" i="186"/>
  <c r="V14" i="186"/>
  <c r="W14" i="186"/>
  <c r="W7" i="186"/>
  <c r="V7" i="186"/>
  <c r="U7" i="186"/>
  <c r="K8" i="186"/>
  <c r="L8" i="186"/>
  <c r="M8" i="186"/>
  <c r="K9" i="186"/>
  <c r="L9" i="186"/>
  <c r="M9" i="186"/>
  <c r="K10" i="186"/>
  <c r="L10" i="186"/>
  <c r="M10" i="186"/>
  <c r="K11" i="186"/>
  <c r="L11" i="186"/>
  <c r="M11" i="186"/>
  <c r="K12" i="186"/>
  <c r="L12" i="186"/>
  <c r="M12" i="186"/>
  <c r="K13" i="186"/>
  <c r="L13" i="186"/>
  <c r="M13" i="186"/>
  <c r="K14" i="186"/>
  <c r="L14" i="186"/>
  <c r="M14" i="186"/>
  <c r="M7" i="186"/>
  <c r="L7" i="186"/>
  <c r="K7" i="186"/>
  <c r="W107" i="185"/>
  <c r="V107" i="185"/>
  <c r="U107" i="185"/>
  <c r="R107" i="185"/>
  <c r="Q107" i="185"/>
  <c r="P107" i="185"/>
  <c r="M107" i="185"/>
  <c r="L107" i="185"/>
  <c r="K107" i="185"/>
  <c r="S106" i="185"/>
  <c r="N106" i="185"/>
  <c r="O106" i="185" s="1"/>
  <c r="X106" i="185"/>
  <c r="AD106" i="185" s="1"/>
  <c r="X17" i="185"/>
  <c r="AD17" i="185" s="1"/>
  <c r="X18" i="185"/>
  <c r="AD18" i="185" s="1"/>
  <c r="X19" i="185"/>
  <c r="AD19" i="185" s="1"/>
  <c r="W20" i="185"/>
  <c r="V20" i="185"/>
  <c r="U20" i="185"/>
  <c r="S17" i="185"/>
  <c r="R20" i="185"/>
  <c r="Q20" i="185"/>
  <c r="P20" i="185"/>
  <c r="N17" i="185"/>
  <c r="M20" i="185"/>
  <c r="L20" i="185"/>
  <c r="K20" i="185"/>
  <c r="X103" i="185"/>
  <c r="AD103" i="185" s="1"/>
  <c r="X104" i="185"/>
  <c r="AD104" i="185" s="1"/>
  <c r="X82" i="185"/>
  <c r="AD82" i="185" s="1"/>
  <c r="X81" i="185"/>
  <c r="AD81" i="185" s="1"/>
  <c r="X85" i="185"/>
  <c r="AD85" i="185" s="1"/>
  <c r="X86" i="185"/>
  <c r="AD86" i="185" s="1"/>
  <c r="X89" i="185"/>
  <c r="AD89" i="185" s="1"/>
  <c r="X90" i="185"/>
  <c r="AD90" i="185" s="1"/>
  <c r="X91" i="185"/>
  <c r="AD91" i="185" s="1"/>
  <c r="X92" i="185"/>
  <c r="AD92" i="185" s="1"/>
  <c r="X93" i="185"/>
  <c r="X97" i="185"/>
  <c r="AD97" i="185" s="1"/>
  <c r="X96" i="185"/>
  <c r="AD96" i="185" s="1"/>
  <c r="X45" i="185"/>
  <c r="X48" i="185"/>
  <c r="AD48" i="185" s="1"/>
  <c r="X49" i="185"/>
  <c r="X50" i="185"/>
  <c r="AD50" i="185" s="1"/>
  <c r="X52" i="185"/>
  <c r="AD52" i="185" s="1"/>
  <c r="X57" i="185"/>
  <c r="AD57" i="185" s="1"/>
  <c r="X56" i="185"/>
  <c r="X65" i="185"/>
  <c r="X66" i="185"/>
  <c r="AD66" i="185" s="1"/>
  <c r="X67" i="185"/>
  <c r="AD67" i="185" s="1"/>
  <c r="X71" i="185"/>
  <c r="AD71" i="185" s="1"/>
  <c r="X72" i="185"/>
  <c r="AD72" i="185" s="1"/>
  <c r="X37" i="185"/>
  <c r="AD37" i="185" s="1"/>
  <c r="X35" i="185"/>
  <c r="AD35" i="185" s="1"/>
  <c r="X28" i="185"/>
  <c r="AD28" i="185" s="1"/>
  <c r="X29" i="185"/>
  <c r="AD29" i="185" s="1"/>
  <c r="X30" i="185"/>
  <c r="AD30" i="185" s="1"/>
  <c r="X32" i="185"/>
  <c r="AD32" i="185" s="1"/>
  <c r="X7" i="185"/>
  <c r="AD7" i="185" s="1"/>
  <c r="X8" i="185"/>
  <c r="AD8" i="185" s="1"/>
  <c r="X9" i="185"/>
  <c r="AD9" i="185" s="1"/>
  <c r="X10" i="185"/>
  <c r="AD10" i="185" s="1"/>
  <c r="X11" i="185"/>
  <c r="AD11" i="185" s="1"/>
  <c r="X12" i="185"/>
  <c r="AD12" i="185" s="1"/>
  <c r="X13" i="185"/>
  <c r="AD13" i="185" s="1"/>
  <c r="X14" i="185"/>
  <c r="AD14" i="185" s="1"/>
  <c r="W83" i="185"/>
  <c r="W87" i="185"/>
  <c r="W94" i="185"/>
  <c r="W98" i="185"/>
  <c r="W46" i="185"/>
  <c r="W73" i="185"/>
  <c r="W33" i="185"/>
  <c r="W38" i="185" s="1"/>
  <c r="W15" i="185"/>
  <c r="S103" i="185"/>
  <c r="S104" i="185"/>
  <c r="Y104" i="185" s="1"/>
  <c r="S82" i="185"/>
  <c r="S81" i="185"/>
  <c r="S85" i="185"/>
  <c r="S86" i="185"/>
  <c r="S89" i="185"/>
  <c r="Y89" i="185" s="1"/>
  <c r="S90" i="185"/>
  <c r="Y90" i="185"/>
  <c r="S91" i="185"/>
  <c r="Y91" i="185" s="1"/>
  <c r="S92" i="185"/>
  <c r="Y92" i="185" s="1"/>
  <c r="S93" i="185"/>
  <c r="S96" i="185"/>
  <c r="S45" i="185"/>
  <c r="S46" i="185" s="1"/>
  <c r="S48" i="185"/>
  <c r="Y48" i="185" s="1"/>
  <c r="S49" i="185"/>
  <c r="S50" i="185"/>
  <c r="S52" i="185"/>
  <c r="Y52" i="185" s="1"/>
  <c r="S57" i="185"/>
  <c r="Y57" i="185" s="1"/>
  <c r="S56" i="185"/>
  <c r="S65" i="185"/>
  <c r="S66" i="185"/>
  <c r="Y66" i="185" s="1"/>
  <c r="S67" i="185"/>
  <c r="Y67" i="185" s="1"/>
  <c r="S71" i="185"/>
  <c r="S72" i="185"/>
  <c r="S37" i="185"/>
  <c r="Y37" i="185" s="1"/>
  <c r="S35" i="185"/>
  <c r="Y35" i="185" s="1"/>
  <c r="S28" i="185"/>
  <c r="S29" i="185"/>
  <c r="S30" i="185"/>
  <c r="Y30" i="185" s="1"/>
  <c r="S32" i="185"/>
  <c r="S18" i="185"/>
  <c r="S19" i="185"/>
  <c r="S7" i="185"/>
  <c r="S8" i="185"/>
  <c r="S9" i="185"/>
  <c r="S10" i="185"/>
  <c r="S11" i="185"/>
  <c r="Y11" i="185" s="1"/>
  <c r="S12" i="185"/>
  <c r="S13" i="185"/>
  <c r="S14" i="185"/>
  <c r="Y82" i="185"/>
  <c r="Y71" i="185"/>
  <c r="V15" i="185"/>
  <c r="V21" i="185" s="1"/>
  <c r="V33" i="185"/>
  <c r="V38" i="185" s="1"/>
  <c r="V46" i="185"/>
  <c r="V73" i="185"/>
  <c r="V83" i="185"/>
  <c r="V87" i="185"/>
  <c r="V94" i="185"/>
  <c r="V98" i="185"/>
  <c r="U15" i="185"/>
  <c r="U33" i="185"/>
  <c r="U38" i="185" s="1"/>
  <c r="U46" i="185"/>
  <c r="U73" i="185"/>
  <c r="U83" i="185"/>
  <c r="U87" i="185"/>
  <c r="U94" i="185"/>
  <c r="U98" i="185"/>
  <c r="N57" i="185"/>
  <c r="O57" i="185" s="1"/>
  <c r="N56" i="185"/>
  <c r="L103" i="273"/>
  <c r="J103" i="273"/>
  <c r="H103" i="273"/>
  <c r="F103" i="273"/>
  <c r="K121" i="273"/>
  <c r="N121" i="273" s="1"/>
  <c r="K101" i="273"/>
  <c r="N101" i="273" s="1"/>
  <c r="K8" i="273"/>
  <c r="N8" i="273" s="1"/>
  <c r="K17" i="273"/>
  <c r="K23" i="273"/>
  <c r="N23" i="273" s="1"/>
  <c r="K28" i="273"/>
  <c r="N28" i="273" s="1"/>
  <c r="K35" i="273"/>
  <c r="K41" i="273"/>
  <c r="K45" i="273"/>
  <c r="N45" i="273"/>
  <c r="K50" i="273"/>
  <c r="N50" i="273" s="1"/>
  <c r="K54" i="273"/>
  <c r="N54" i="273"/>
  <c r="K73" i="273"/>
  <c r="K82" i="273"/>
  <c r="N82" i="273" s="1"/>
  <c r="I101" i="273"/>
  <c r="L120" i="273"/>
  <c r="L119" i="273"/>
  <c r="L118" i="273"/>
  <c r="L117" i="273"/>
  <c r="L113" i="273"/>
  <c r="L112" i="273"/>
  <c r="L111" i="273"/>
  <c r="L110" i="273"/>
  <c r="L109" i="273"/>
  <c r="L108" i="273"/>
  <c r="L107" i="273"/>
  <c r="L106" i="273"/>
  <c r="L105" i="273"/>
  <c r="L104" i="273"/>
  <c r="L100" i="273"/>
  <c r="L99" i="273"/>
  <c r="L98" i="273"/>
  <c r="L97" i="273"/>
  <c r="L96" i="273"/>
  <c r="L95" i="273"/>
  <c r="L94" i="273"/>
  <c r="I89" i="273"/>
  <c r="L89" i="273" s="1"/>
  <c r="L88" i="273"/>
  <c r="L87" i="273"/>
  <c r="L86" i="273"/>
  <c r="L85" i="273"/>
  <c r="L84" i="273"/>
  <c r="L81" i="273"/>
  <c r="L80" i="273"/>
  <c r="L79" i="273"/>
  <c r="L78" i="273"/>
  <c r="L77" i="273"/>
  <c r="L76" i="273"/>
  <c r="L75" i="273"/>
  <c r="L72" i="273"/>
  <c r="L67" i="273"/>
  <c r="L63" i="273"/>
  <c r="L62" i="273"/>
  <c r="L61" i="273"/>
  <c r="L60" i="273"/>
  <c r="L59" i="273"/>
  <c r="L53" i="273"/>
  <c r="L52" i="273"/>
  <c r="L49" i="273"/>
  <c r="L48" i="273"/>
  <c r="L47" i="273"/>
  <c r="L44" i="273"/>
  <c r="L43" i="273"/>
  <c r="L40" i="273"/>
  <c r="L38" i="273"/>
  <c r="L37" i="273"/>
  <c r="L34" i="273"/>
  <c r="L33" i="273"/>
  <c r="C3" i="273"/>
  <c r="G3" i="273"/>
  <c r="I3" i="273" s="1"/>
  <c r="K3" i="273" s="1"/>
  <c r="M3" i="273" s="1"/>
  <c r="O3" i="273" s="1"/>
  <c r="D5" i="273"/>
  <c r="F5" i="273"/>
  <c r="H5" i="273"/>
  <c r="J5" i="273"/>
  <c r="D6" i="273"/>
  <c r="F6" i="273"/>
  <c r="H6" i="273"/>
  <c r="J6" i="273"/>
  <c r="D7" i="273"/>
  <c r="F7" i="273"/>
  <c r="H7" i="273"/>
  <c r="J7" i="273"/>
  <c r="B8" i="273"/>
  <c r="C8" i="273"/>
  <c r="E8" i="273"/>
  <c r="G8" i="273"/>
  <c r="I8" i="273"/>
  <c r="D10" i="273"/>
  <c r="F10" i="273"/>
  <c r="H10" i="273"/>
  <c r="J10" i="273"/>
  <c r="D11" i="273"/>
  <c r="F11" i="273"/>
  <c r="H11" i="273"/>
  <c r="J11" i="273"/>
  <c r="D12" i="273"/>
  <c r="F12" i="273"/>
  <c r="H12" i="273"/>
  <c r="J12" i="273"/>
  <c r="D13" i="273"/>
  <c r="F13" i="273"/>
  <c r="H13" i="273"/>
  <c r="J13" i="273"/>
  <c r="D14" i="273"/>
  <c r="F14" i="273"/>
  <c r="H14" i="273"/>
  <c r="J14" i="273"/>
  <c r="D15" i="273"/>
  <c r="F15" i="273"/>
  <c r="H15" i="273"/>
  <c r="J15" i="273"/>
  <c r="D16" i="273"/>
  <c r="F16" i="273"/>
  <c r="H16" i="273"/>
  <c r="J16" i="273"/>
  <c r="B17" i="273"/>
  <c r="D17" i="273" s="1"/>
  <c r="C17" i="273"/>
  <c r="E17" i="273"/>
  <c r="F17" i="273"/>
  <c r="I17" i="273"/>
  <c r="D19" i="273"/>
  <c r="F19" i="273"/>
  <c r="H19" i="273"/>
  <c r="J19" i="273"/>
  <c r="D20" i="273"/>
  <c r="F20" i="273"/>
  <c r="H20" i="273"/>
  <c r="J20" i="273"/>
  <c r="D21" i="273"/>
  <c r="F21" i="273"/>
  <c r="H21" i="273"/>
  <c r="J21" i="273"/>
  <c r="D22" i="273"/>
  <c r="F22" i="273"/>
  <c r="H22" i="273"/>
  <c r="J22" i="273"/>
  <c r="B23" i="273"/>
  <c r="C23" i="273"/>
  <c r="D23" i="273"/>
  <c r="E23" i="273"/>
  <c r="G23" i="273"/>
  <c r="I23" i="273"/>
  <c r="L23" i="273"/>
  <c r="D25" i="273"/>
  <c r="F25" i="273"/>
  <c r="H25" i="273"/>
  <c r="J25" i="273"/>
  <c r="D26" i="273"/>
  <c r="F26" i="273"/>
  <c r="H26" i="273"/>
  <c r="J26" i="273"/>
  <c r="D27" i="273"/>
  <c r="F27" i="273"/>
  <c r="H27" i="273"/>
  <c r="J27" i="273"/>
  <c r="B28" i="273"/>
  <c r="C28" i="273"/>
  <c r="E28" i="273"/>
  <c r="G28" i="273"/>
  <c r="I28" i="273"/>
  <c r="C31" i="273"/>
  <c r="G31" i="273"/>
  <c r="I31" i="273" s="1"/>
  <c r="K31" i="273" s="1"/>
  <c r="M31" i="273" s="1"/>
  <c r="O31" i="273" s="1"/>
  <c r="D33" i="273"/>
  <c r="F33" i="273"/>
  <c r="H33" i="273"/>
  <c r="J33" i="273"/>
  <c r="D34" i="273"/>
  <c r="F34" i="273"/>
  <c r="H34" i="273"/>
  <c r="J34" i="273"/>
  <c r="B35" i="273"/>
  <c r="C35" i="273"/>
  <c r="D35" i="273" s="1"/>
  <c r="E35" i="273"/>
  <c r="G35" i="273"/>
  <c r="I35" i="273"/>
  <c r="D37" i="273"/>
  <c r="F37" i="273"/>
  <c r="H37" i="273"/>
  <c r="J37" i="273"/>
  <c r="D38" i="273"/>
  <c r="F38" i="273"/>
  <c r="H38" i="273"/>
  <c r="J38" i="273"/>
  <c r="D40" i="273"/>
  <c r="F40" i="273"/>
  <c r="H40" i="273"/>
  <c r="J40" i="273"/>
  <c r="B41" i="273"/>
  <c r="C41" i="273"/>
  <c r="E41" i="273"/>
  <c r="G41" i="273"/>
  <c r="I41" i="273"/>
  <c r="D43" i="273"/>
  <c r="F43" i="273"/>
  <c r="H43" i="273"/>
  <c r="J43" i="273"/>
  <c r="D44" i="273"/>
  <c r="F44" i="273"/>
  <c r="H44" i="273"/>
  <c r="J44" i="273"/>
  <c r="B45" i="273"/>
  <c r="D45" i="273" s="1"/>
  <c r="C45" i="273"/>
  <c r="E45" i="273"/>
  <c r="F45" i="273"/>
  <c r="G45" i="273"/>
  <c r="I45" i="273"/>
  <c r="L45" i="273" s="1"/>
  <c r="D47" i="273"/>
  <c r="F47" i="273"/>
  <c r="H47" i="273"/>
  <c r="J47" i="273"/>
  <c r="D48" i="273"/>
  <c r="F48" i="273"/>
  <c r="H48" i="273"/>
  <c r="J48" i="273"/>
  <c r="D49" i="273"/>
  <c r="F49" i="273"/>
  <c r="H49" i="273"/>
  <c r="J49" i="273"/>
  <c r="B50" i="273"/>
  <c r="C50" i="273"/>
  <c r="E50" i="273"/>
  <c r="G50" i="273"/>
  <c r="I50" i="273"/>
  <c r="D52" i="273"/>
  <c r="F52" i="273"/>
  <c r="H52" i="273"/>
  <c r="J52" i="273"/>
  <c r="D53" i="273"/>
  <c r="F53" i="273"/>
  <c r="H53" i="273"/>
  <c r="J53" i="273"/>
  <c r="B54" i="273"/>
  <c r="D54" i="273" s="1"/>
  <c r="C54" i="273"/>
  <c r="E54" i="273"/>
  <c r="F54" i="273"/>
  <c r="G54" i="273"/>
  <c r="I54" i="273"/>
  <c r="L54" i="273" s="1"/>
  <c r="C57" i="273"/>
  <c r="G57" i="273"/>
  <c r="I57" i="273" s="1"/>
  <c r="K57" i="273" s="1"/>
  <c r="M57" i="273" s="1"/>
  <c r="O57" i="273" s="1"/>
  <c r="D59" i="273"/>
  <c r="F59" i="273"/>
  <c r="H59" i="273"/>
  <c r="J59" i="273"/>
  <c r="D60" i="273"/>
  <c r="F60" i="273"/>
  <c r="H60" i="273"/>
  <c r="J60" i="273"/>
  <c r="D61" i="273"/>
  <c r="F61" i="273"/>
  <c r="H61" i="273"/>
  <c r="J61" i="273"/>
  <c r="D62" i="273"/>
  <c r="F62" i="273"/>
  <c r="H62" i="273"/>
  <c r="J62" i="273"/>
  <c r="D63" i="273"/>
  <c r="F63" i="273"/>
  <c r="H63" i="273"/>
  <c r="J63" i="273"/>
  <c r="D67" i="273"/>
  <c r="F67" i="273"/>
  <c r="H67" i="273"/>
  <c r="J67" i="273"/>
  <c r="D72" i="273"/>
  <c r="F72" i="273"/>
  <c r="H72" i="273"/>
  <c r="J72" i="273"/>
  <c r="B73" i="273"/>
  <c r="C73" i="273"/>
  <c r="E73" i="273"/>
  <c r="I73" i="273"/>
  <c r="L73" i="273" s="1"/>
  <c r="D75" i="273"/>
  <c r="F75" i="273"/>
  <c r="H75" i="273"/>
  <c r="J75" i="273"/>
  <c r="D76" i="273"/>
  <c r="F76" i="273"/>
  <c r="H76" i="273"/>
  <c r="J76" i="273"/>
  <c r="D77" i="273"/>
  <c r="F77" i="273"/>
  <c r="H77" i="273"/>
  <c r="J77" i="273"/>
  <c r="D78" i="273"/>
  <c r="F78" i="273"/>
  <c r="H78" i="273"/>
  <c r="J78" i="273"/>
  <c r="D79" i="273"/>
  <c r="F79" i="273"/>
  <c r="H79" i="273"/>
  <c r="J79" i="273"/>
  <c r="D80" i="273"/>
  <c r="F80" i="273"/>
  <c r="H80" i="273"/>
  <c r="J80" i="273"/>
  <c r="D81" i="273"/>
  <c r="F81" i="273"/>
  <c r="H81" i="273"/>
  <c r="J81" i="273"/>
  <c r="B82" i="273"/>
  <c r="C82" i="273"/>
  <c r="E82" i="273"/>
  <c r="H82" i="273" s="1"/>
  <c r="G82" i="273"/>
  <c r="I82" i="273"/>
  <c r="D84" i="273"/>
  <c r="F84" i="273"/>
  <c r="H84" i="273"/>
  <c r="J84" i="273"/>
  <c r="D85" i="273"/>
  <c r="F85" i="273"/>
  <c r="H85" i="273"/>
  <c r="J85" i="273"/>
  <c r="D86" i="273"/>
  <c r="F86" i="273"/>
  <c r="H86" i="273"/>
  <c r="J86" i="273"/>
  <c r="D87" i="273"/>
  <c r="F87" i="273"/>
  <c r="H87" i="273"/>
  <c r="J87" i="273"/>
  <c r="D88" i="273"/>
  <c r="F88" i="273"/>
  <c r="H88" i="273"/>
  <c r="J88" i="273"/>
  <c r="B89" i="273"/>
  <c r="C89" i="273"/>
  <c r="E89" i="273"/>
  <c r="G89" i="273"/>
  <c r="C92" i="273"/>
  <c r="G92" i="273"/>
  <c r="I92" i="273" s="1"/>
  <c r="K92" i="273" s="1"/>
  <c r="M92" i="273" s="1"/>
  <c r="O92" i="273" s="1"/>
  <c r="D94" i="273"/>
  <c r="F94" i="273"/>
  <c r="H94" i="273"/>
  <c r="J94" i="273"/>
  <c r="D95" i="273"/>
  <c r="F95" i="273"/>
  <c r="H95" i="273"/>
  <c r="J95" i="273"/>
  <c r="D96" i="273"/>
  <c r="F96" i="273"/>
  <c r="H96" i="273"/>
  <c r="J96" i="273"/>
  <c r="D97" i="273"/>
  <c r="F97" i="273"/>
  <c r="H97" i="273"/>
  <c r="J97" i="273"/>
  <c r="D98" i="273"/>
  <c r="F98" i="273"/>
  <c r="H98" i="273"/>
  <c r="J98" i="273"/>
  <c r="D99" i="273"/>
  <c r="F99" i="273"/>
  <c r="H99" i="273"/>
  <c r="J99" i="273"/>
  <c r="D100" i="273"/>
  <c r="F100" i="273"/>
  <c r="H100" i="273"/>
  <c r="J100" i="273"/>
  <c r="B101" i="273"/>
  <c r="D101" i="273" s="1"/>
  <c r="C101" i="273"/>
  <c r="E101" i="273"/>
  <c r="G101" i="273"/>
  <c r="J101" i="273" s="1"/>
  <c r="D104" i="273"/>
  <c r="F104" i="273"/>
  <c r="H104" i="273"/>
  <c r="J104" i="273"/>
  <c r="D105" i="273"/>
  <c r="F105" i="273"/>
  <c r="H105" i="273"/>
  <c r="J105" i="273"/>
  <c r="D106" i="273"/>
  <c r="F106" i="273"/>
  <c r="H106" i="273"/>
  <c r="J106" i="273"/>
  <c r="F107" i="273"/>
  <c r="H107" i="273"/>
  <c r="J107" i="273"/>
  <c r="D108" i="273"/>
  <c r="F108" i="273"/>
  <c r="H108" i="273"/>
  <c r="J108" i="273"/>
  <c r="D109" i="273"/>
  <c r="F109" i="273"/>
  <c r="H109" i="273"/>
  <c r="J109" i="273"/>
  <c r="D110" i="273"/>
  <c r="F110" i="273"/>
  <c r="H110" i="273"/>
  <c r="J110" i="273"/>
  <c r="D111" i="273"/>
  <c r="F111" i="273"/>
  <c r="H111" i="273"/>
  <c r="J111" i="273"/>
  <c r="D112" i="273"/>
  <c r="F112" i="273"/>
  <c r="H112" i="273"/>
  <c r="J112" i="273"/>
  <c r="D113" i="273"/>
  <c r="F113" i="273"/>
  <c r="H113" i="273"/>
  <c r="J113" i="273"/>
  <c r="B114" i="273"/>
  <c r="C114" i="273"/>
  <c r="F114" i="273" s="1"/>
  <c r="H114" i="273"/>
  <c r="I115" i="273"/>
  <c r="B115" i="273"/>
  <c r="D117" i="273"/>
  <c r="F117" i="273"/>
  <c r="H117" i="273"/>
  <c r="J117" i="273"/>
  <c r="D118" i="273"/>
  <c r="F118" i="273"/>
  <c r="H118" i="273"/>
  <c r="J118" i="273"/>
  <c r="D119" i="273"/>
  <c r="F119" i="273"/>
  <c r="H119" i="273"/>
  <c r="J119" i="273"/>
  <c r="D120" i="273"/>
  <c r="F120" i="273"/>
  <c r="H120" i="273"/>
  <c r="J120" i="273"/>
  <c r="B121" i="273"/>
  <c r="C121" i="273"/>
  <c r="E121" i="273"/>
  <c r="H121" i="273" s="1"/>
  <c r="G121" i="273"/>
  <c r="I121" i="273"/>
  <c r="L121" i="273" s="1"/>
  <c r="I24" i="234"/>
  <c r="L24" i="234" s="1"/>
  <c r="I18" i="234"/>
  <c r="Q33" i="261"/>
  <c r="S33" i="261"/>
  <c r="O33" i="261"/>
  <c r="M33" i="261"/>
  <c r="K33" i="261"/>
  <c r="I33" i="261"/>
  <c r="G33" i="261"/>
  <c r="R44" i="261"/>
  <c r="R45" i="261" s="1"/>
  <c r="S45" i="261" s="1"/>
  <c r="L44" i="261"/>
  <c r="L48" i="261" s="1"/>
  <c r="N44" i="261"/>
  <c r="P44" i="261"/>
  <c r="S43" i="261"/>
  <c r="S42" i="261"/>
  <c r="S41" i="261"/>
  <c r="S40" i="261"/>
  <c r="S39" i="261"/>
  <c r="S37" i="261"/>
  <c r="S36" i="261"/>
  <c r="S35" i="261"/>
  <c r="S34" i="261"/>
  <c r="S31" i="261"/>
  <c r="S29" i="261"/>
  <c r="S28" i="261"/>
  <c r="S26" i="261"/>
  <c r="S27" i="261"/>
  <c r="S24" i="261"/>
  <c r="S23" i="261"/>
  <c r="S22" i="261"/>
  <c r="S21" i="261"/>
  <c r="S20" i="261"/>
  <c r="S18" i="261"/>
  <c r="S17" i="261"/>
  <c r="S16" i="261"/>
  <c r="S14" i="261"/>
  <c r="S13" i="261"/>
  <c r="S12" i="261"/>
  <c r="S11" i="261"/>
  <c r="S10" i="261"/>
  <c r="S8" i="261"/>
  <c r="S7" i="261"/>
  <c r="S6" i="261"/>
  <c r="S5" i="261"/>
  <c r="H44" i="261"/>
  <c r="H48" i="261" s="1"/>
  <c r="Q43" i="261"/>
  <c r="Q42" i="261"/>
  <c r="Q41" i="261"/>
  <c r="Q40" i="261"/>
  <c r="Q39" i="261"/>
  <c r="Q37" i="261"/>
  <c r="Q36" i="261"/>
  <c r="Q35" i="261"/>
  <c r="Q34" i="261"/>
  <c r="Q31" i="261"/>
  <c r="Q29" i="261"/>
  <c r="Q28" i="261"/>
  <c r="Q26" i="261"/>
  <c r="Q27" i="261"/>
  <c r="Q24" i="261"/>
  <c r="Q23" i="261"/>
  <c r="Q22" i="261"/>
  <c r="Q21" i="261"/>
  <c r="Q20" i="261"/>
  <c r="Q18" i="261"/>
  <c r="Q17" i="261"/>
  <c r="Q16" i="261"/>
  <c r="Q14" i="261"/>
  <c r="Q13" i="261"/>
  <c r="Q12" i="261"/>
  <c r="Q11" i="261"/>
  <c r="Q10" i="261"/>
  <c r="Q8" i="261"/>
  <c r="Q7" i="261"/>
  <c r="Q6" i="261"/>
  <c r="Q5" i="261"/>
  <c r="B9" i="187"/>
  <c r="C9" i="187"/>
  <c r="B17" i="187"/>
  <c r="C17" i="187"/>
  <c r="B21" i="187"/>
  <c r="C21" i="187"/>
  <c r="B25" i="187"/>
  <c r="C25" i="187"/>
  <c r="B28" i="187"/>
  <c r="C28" i="187"/>
  <c r="B32" i="187"/>
  <c r="C32" i="187"/>
  <c r="B39" i="187"/>
  <c r="C39" i="187"/>
  <c r="B43" i="187"/>
  <c r="C43" i="187"/>
  <c r="B47" i="187"/>
  <c r="C47" i="187"/>
  <c r="B51" i="187"/>
  <c r="B52" i="187" s="1"/>
  <c r="C51" i="187"/>
  <c r="B63" i="187"/>
  <c r="C63" i="187"/>
  <c r="B71" i="187"/>
  <c r="C71" i="187"/>
  <c r="B77" i="187"/>
  <c r="C77" i="187"/>
  <c r="B89" i="187"/>
  <c r="C89" i="187"/>
  <c r="B102" i="187"/>
  <c r="C102" i="187"/>
  <c r="H89" i="187"/>
  <c r="H103" i="187" s="1"/>
  <c r="H17" i="187"/>
  <c r="H21" i="187"/>
  <c r="H39" i="187"/>
  <c r="H43" i="187"/>
  <c r="H47" i="187"/>
  <c r="H51" i="187"/>
  <c r="H63" i="187"/>
  <c r="H71" i="187"/>
  <c r="H77" i="187"/>
  <c r="O19" i="263"/>
  <c r="N24" i="263"/>
  <c r="L34" i="263"/>
  <c r="C124" i="196"/>
  <c r="B124" i="196"/>
  <c r="H114" i="196"/>
  <c r="D114" i="196"/>
  <c r="F114" i="196"/>
  <c r="D16" i="196"/>
  <c r="E112" i="196"/>
  <c r="E125" i="196" s="1"/>
  <c r="E55" i="196"/>
  <c r="E10" i="196"/>
  <c r="H10" i="196" s="1"/>
  <c r="E32" i="196"/>
  <c r="E26" i="196"/>
  <c r="E20" i="196"/>
  <c r="E84" i="196"/>
  <c r="E101" i="196"/>
  <c r="E93" i="196"/>
  <c r="E131" i="196"/>
  <c r="H130" i="196"/>
  <c r="H129" i="196"/>
  <c r="H128" i="196"/>
  <c r="H127" i="196"/>
  <c r="H123" i="196"/>
  <c r="H122" i="196"/>
  <c r="H121" i="196"/>
  <c r="H120" i="196"/>
  <c r="H119" i="196"/>
  <c r="H118" i="196"/>
  <c r="H117" i="196"/>
  <c r="H116" i="196"/>
  <c r="H115" i="196"/>
  <c r="H111" i="196"/>
  <c r="H110" i="196"/>
  <c r="H109" i="196"/>
  <c r="H108" i="196"/>
  <c r="H107" i="196"/>
  <c r="H106" i="196"/>
  <c r="H100" i="196"/>
  <c r="H99" i="196"/>
  <c r="H98" i="196"/>
  <c r="H97" i="196"/>
  <c r="H96" i="196"/>
  <c r="H95" i="196"/>
  <c r="H92" i="196"/>
  <c r="H91" i="196"/>
  <c r="H90" i="196"/>
  <c r="H89" i="196"/>
  <c r="H88" i="196"/>
  <c r="H87" i="196"/>
  <c r="H86" i="196"/>
  <c r="H83" i="196"/>
  <c r="H78" i="196"/>
  <c r="H77" i="196"/>
  <c r="H76" i="196"/>
  <c r="H75" i="196"/>
  <c r="H71" i="196"/>
  <c r="H70" i="196"/>
  <c r="H62" i="196"/>
  <c r="H54" i="196"/>
  <c r="H53" i="196"/>
  <c r="H52" i="196"/>
  <c r="H49" i="196"/>
  <c r="H45" i="196"/>
  <c r="H43" i="196"/>
  <c r="H38" i="196"/>
  <c r="H37" i="196"/>
  <c r="H31" i="196"/>
  <c r="H30" i="196"/>
  <c r="H29" i="196"/>
  <c r="H28" i="196"/>
  <c r="H25" i="196"/>
  <c r="H23" i="196"/>
  <c r="H22" i="196"/>
  <c r="H20" i="196"/>
  <c r="H19" i="196"/>
  <c r="H18" i="196"/>
  <c r="H17" i="196"/>
  <c r="H16" i="196"/>
  <c r="H15" i="196"/>
  <c r="H14" i="196"/>
  <c r="H13" i="196"/>
  <c r="H12" i="196"/>
  <c r="H9" i="196"/>
  <c r="H8" i="196"/>
  <c r="H7" i="196"/>
  <c r="H5" i="196"/>
  <c r="K19" i="184"/>
  <c r="L19" i="184"/>
  <c r="M19" i="184"/>
  <c r="M114" i="184"/>
  <c r="L114" i="184"/>
  <c r="K114" i="184"/>
  <c r="M113" i="184"/>
  <c r="L113" i="184"/>
  <c r="K113" i="184"/>
  <c r="M112" i="184"/>
  <c r="L112" i="184"/>
  <c r="K112" i="184"/>
  <c r="M111" i="184"/>
  <c r="L111" i="184"/>
  <c r="K111" i="184"/>
  <c r="M110" i="184"/>
  <c r="L110" i="184"/>
  <c r="K110" i="184"/>
  <c r="M109" i="184"/>
  <c r="L109" i="184"/>
  <c r="K109" i="184"/>
  <c r="M108" i="184"/>
  <c r="M115" i="184" s="1"/>
  <c r="L108" i="184"/>
  <c r="K108" i="184"/>
  <c r="M101" i="184"/>
  <c r="L101" i="184"/>
  <c r="L102" i="184" s="1"/>
  <c r="K101" i="184"/>
  <c r="M100" i="184"/>
  <c r="L100" i="184"/>
  <c r="K100" i="184"/>
  <c r="M97" i="184"/>
  <c r="L97" i="184"/>
  <c r="K97" i="184"/>
  <c r="M96" i="184"/>
  <c r="L96" i="184"/>
  <c r="K96" i="184"/>
  <c r="M95" i="184"/>
  <c r="L95" i="184"/>
  <c r="K95" i="184"/>
  <c r="M94" i="184"/>
  <c r="L94" i="184"/>
  <c r="K94" i="184"/>
  <c r="M93" i="184"/>
  <c r="L93" i="184"/>
  <c r="K93" i="184"/>
  <c r="M90" i="184"/>
  <c r="M91" i="184" s="1"/>
  <c r="L90" i="184"/>
  <c r="K90" i="184"/>
  <c r="M89" i="184"/>
  <c r="L89" i="184"/>
  <c r="K89" i="184"/>
  <c r="M87" i="184"/>
  <c r="L87" i="184"/>
  <c r="K87" i="184"/>
  <c r="M78" i="184"/>
  <c r="L78" i="184"/>
  <c r="K78" i="184"/>
  <c r="M77" i="184"/>
  <c r="L77" i="184"/>
  <c r="K77" i="184"/>
  <c r="M76" i="184"/>
  <c r="L76" i="184"/>
  <c r="K76" i="184"/>
  <c r="M73" i="184"/>
  <c r="L73" i="184"/>
  <c r="K73" i="184"/>
  <c r="M71" i="184"/>
  <c r="L71" i="184"/>
  <c r="K71" i="184"/>
  <c r="M69" i="184"/>
  <c r="L69" i="184"/>
  <c r="K69" i="184"/>
  <c r="M63" i="184"/>
  <c r="L63" i="184"/>
  <c r="K63" i="184"/>
  <c r="M62" i="184"/>
  <c r="L62" i="184"/>
  <c r="K62" i="184"/>
  <c r="M59" i="184"/>
  <c r="L59" i="184"/>
  <c r="K59" i="184"/>
  <c r="M58" i="184"/>
  <c r="L58" i="184"/>
  <c r="K58" i="184"/>
  <c r="M57" i="184"/>
  <c r="L57" i="184"/>
  <c r="K57" i="184"/>
  <c r="M56" i="184"/>
  <c r="L56" i="184"/>
  <c r="K56" i="184"/>
  <c r="M55" i="184"/>
  <c r="L55" i="184"/>
  <c r="K55" i="184"/>
  <c r="M54" i="184"/>
  <c r="L54" i="184"/>
  <c r="K54" i="184"/>
  <c r="M51" i="184"/>
  <c r="L51" i="184"/>
  <c r="K51" i="184"/>
  <c r="M50" i="184"/>
  <c r="L50" i="184"/>
  <c r="K50" i="184"/>
  <c r="M42" i="184"/>
  <c r="L42" i="184"/>
  <c r="K42" i="184"/>
  <c r="M40" i="184"/>
  <c r="L40" i="184"/>
  <c r="K40" i="184"/>
  <c r="M37" i="184"/>
  <c r="L37" i="184"/>
  <c r="K37" i="184"/>
  <c r="M36" i="184"/>
  <c r="L36" i="184"/>
  <c r="K36" i="184"/>
  <c r="M32" i="184"/>
  <c r="L32" i="184"/>
  <c r="K32" i="184"/>
  <c r="M31" i="184"/>
  <c r="L31" i="184"/>
  <c r="K31" i="184"/>
  <c r="M30" i="184"/>
  <c r="L30" i="184"/>
  <c r="K30" i="184"/>
  <c r="M21" i="184"/>
  <c r="L21" i="184"/>
  <c r="K21" i="184"/>
  <c r="M20" i="184"/>
  <c r="L20" i="184"/>
  <c r="K20" i="184"/>
  <c r="M18" i="184"/>
  <c r="L18" i="184"/>
  <c r="K18" i="184"/>
  <c r="M15" i="184"/>
  <c r="L15" i="184"/>
  <c r="K15" i="184"/>
  <c r="M14" i="184"/>
  <c r="L14" i="184"/>
  <c r="K14" i="184"/>
  <c r="M12" i="184"/>
  <c r="L12" i="184"/>
  <c r="K12" i="184"/>
  <c r="M11" i="184"/>
  <c r="L11" i="184"/>
  <c r="K11" i="184"/>
  <c r="M10" i="184"/>
  <c r="L10" i="184"/>
  <c r="K10" i="184"/>
  <c r="M9" i="184"/>
  <c r="L9" i="184"/>
  <c r="K9" i="184"/>
  <c r="M8" i="184"/>
  <c r="L8" i="184"/>
  <c r="K8" i="184"/>
  <c r="M7" i="184"/>
  <c r="L7" i="184"/>
  <c r="K7" i="184"/>
  <c r="F19" i="184"/>
  <c r="G19" i="184"/>
  <c r="H19" i="184"/>
  <c r="B19" i="184"/>
  <c r="C19" i="184"/>
  <c r="D19" i="184"/>
  <c r="F108" i="184"/>
  <c r="G108" i="184"/>
  <c r="H108" i="184"/>
  <c r="F109" i="184"/>
  <c r="G109" i="184"/>
  <c r="H109" i="184"/>
  <c r="F110" i="184"/>
  <c r="G110" i="184"/>
  <c r="H110" i="184"/>
  <c r="F111" i="184"/>
  <c r="G111" i="184"/>
  <c r="H111" i="184"/>
  <c r="F112" i="184"/>
  <c r="G112" i="184"/>
  <c r="H112" i="184"/>
  <c r="F113" i="184"/>
  <c r="G113" i="184"/>
  <c r="H113" i="184"/>
  <c r="F114" i="184"/>
  <c r="G114" i="184"/>
  <c r="H114" i="184"/>
  <c r="F87" i="184"/>
  <c r="G87" i="184"/>
  <c r="H87" i="184"/>
  <c r="F89" i="184"/>
  <c r="G89" i="184"/>
  <c r="H89" i="184"/>
  <c r="F90" i="184"/>
  <c r="G90" i="184"/>
  <c r="H90" i="184"/>
  <c r="F93" i="184"/>
  <c r="G93" i="184"/>
  <c r="H93" i="184"/>
  <c r="F94" i="184"/>
  <c r="G94" i="184"/>
  <c r="H94" i="184"/>
  <c r="F95" i="184"/>
  <c r="G95" i="184"/>
  <c r="H95" i="184"/>
  <c r="F96" i="184"/>
  <c r="G96" i="184"/>
  <c r="H96" i="184"/>
  <c r="F97" i="184"/>
  <c r="G97" i="184"/>
  <c r="H97" i="184"/>
  <c r="F101" i="184"/>
  <c r="G101" i="184"/>
  <c r="H101" i="184"/>
  <c r="F100" i="184"/>
  <c r="G100" i="184"/>
  <c r="H100" i="184"/>
  <c r="F51" i="184"/>
  <c r="G51" i="184"/>
  <c r="H51" i="184"/>
  <c r="F50" i="184"/>
  <c r="G50" i="184"/>
  <c r="H50" i="184"/>
  <c r="F54" i="184"/>
  <c r="G54" i="184"/>
  <c r="H54" i="184"/>
  <c r="F55" i="184"/>
  <c r="G55" i="184"/>
  <c r="H55" i="184"/>
  <c r="F56" i="184"/>
  <c r="G56" i="184"/>
  <c r="H56" i="184"/>
  <c r="F57" i="184"/>
  <c r="G57" i="184"/>
  <c r="H57" i="184"/>
  <c r="F58" i="184"/>
  <c r="G58" i="184"/>
  <c r="H58" i="184"/>
  <c r="F59" i="184"/>
  <c r="G59" i="184"/>
  <c r="H59" i="184"/>
  <c r="F63" i="184"/>
  <c r="G63" i="184"/>
  <c r="H63" i="184"/>
  <c r="F62" i="184"/>
  <c r="G62" i="184"/>
  <c r="H62" i="184"/>
  <c r="F69" i="184"/>
  <c r="G69" i="184"/>
  <c r="H69" i="184"/>
  <c r="F71" i="184"/>
  <c r="G71" i="184"/>
  <c r="H71" i="184"/>
  <c r="F73" i="184"/>
  <c r="G73" i="184"/>
  <c r="H73" i="184"/>
  <c r="F76" i="184"/>
  <c r="G76" i="184"/>
  <c r="H76" i="184"/>
  <c r="F77" i="184"/>
  <c r="G77" i="184"/>
  <c r="H77" i="184"/>
  <c r="F78" i="184"/>
  <c r="G78" i="184"/>
  <c r="H78" i="184"/>
  <c r="F42" i="184"/>
  <c r="G42" i="184"/>
  <c r="H42" i="184"/>
  <c r="F40" i="184"/>
  <c r="G40" i="184"/>
  <c r="H40" i="184"/>
  <c r="F30" i="184"/>
  <c r="G30" i="184"/>
  <c r="H30" i="184"/>
  <c r="F31" i="184"/>
  <c r="G31" i="184"/>
  <c r="H31" i="184"/>
  <c r="F32" i="184"/>
  <c r="G32" i="184"/>
  <c r="H32" i="184"/>
  <c r="F36" i="184"/>
  <c r="G36" i="184"/>
  <c r="H36" i="184"/>
  <c r="F37" i="184"/>
  <c r="G37" i="184"/>
  <c r="H37" i="184"/>
  <c r="F18" i="184"/>
  <c r="G18" i="184"/>
  <c r="H18" i="184"/>
  <c r="F20" i="184"/>
  <c r="G20" i="184"/>
  <c r="H20" i="184"/>
  <c r="F21" i="184"/>
  <c r="G21" i="184"/>
  <c r="H21" i="184"/>
  <c r="F7" i="184"/>
  <c r="G7" i="184"/>
  <c r="H7" i="184"/>
  <c r="F8" i="184"/>
  <c r="G8" i="184"/>
  <c r="H8" i="184"/>
  <c r="F9" i="184"/>
  <c r="G9" i="184"/>
  <c r="H9" i="184"/>
  <c r="F10" i="184"/>
  <c r="G10" i="184"/>
  <c r="H10" i="184"/>
  <c r="F11" i="184"/>
  <c r="G11" i="184"/>
  <c r="H11" i="184"/>
  <c r="F12" i="184"/>
  <c r="G12" i="184"/>
  <c r="H12" i="184"/>
  <c r="F14" i="184"/>
  <c r="G14" i="184"/>
  <c r="H14" i="184"/>
  <c r="F15" i="184"/>
  <c r="G15" i="184"/>
  <c r="H15" i="184"/>
  <c r="E19" i="183"/>
  <c r="J19" i="183" s="1"/>
  <c r="O19" i="183"/>
  <c r="N9" i="183"/>
  <c r="N10" i="183"/>
  <c r="T10" i="183"/>
  <c r="N11" i="183"/>
  <c r="T11" i="183" s="1"/>
  <c r="N12" i="183"/>
  <c r="N14" i="183"/>
  <c r="T14" i="183" s="1"/>
  <c r="N15" i="183"/>
  <c r="T15" i="183"/>
  <c r="N7" i="183"/>
  <c r="T7" i="183" s="1"/>
  <c r="N8" i="183"/>
  <c r="T8" i="183" s="1"/>
  <c r="N87" i="183"/>
  <c r="N93" i="183"/>
  <c r="T93" i="183"/>
  <c r="N94" i="183"/>
  <c r="T94" i="183" s="1"/>
  <c r="N95" i="183"/>
  <c r="T95" i="183" s="1"/>
  <c r="N96" i="183"/>
  <c r="T96" i="183" s="1"/>
  <c r="N97" i="183"/>
  <c r="T97" i="183"/>
  <c r="N89" i="183"/>
  <c r="T89" i="183" s="1"/>
  <c r="N90" i="183"/>
  <c r="T90" i="183" s="1"/>
  <c r="N100" i="183"/>
  <c r="N101" i="183"/>
  <c r="T101" i="183"/>
  <c r="N108" i="183"/>
  <c r="T108" i="183" s="1"/>
  <c r="N109" i="183"/>
  <c r="T109" i="183" s="1"/>
  <c r="N110" i="183"/>
  <c r="T110" i="183" s="1"/>
  <c r="N111" i="183"/>
  <c r="T111" i="183"/>
  <c r="N112" i="183"/>
  <c r="T112" i="183" s="1"/>
  <c r="N113" i="183"/>
  <c r="O113" i="183" s="1"/>
  <c r="N114" i="183"/>
  <c r="O114" i="183" s="1"/>
  <c r="N51" i="183"/>
  <c r="T51" i="183"/>
  <c r="N50" i="183"/>
  <c r="T50" i="183" s="1"/>
  <c r="N76" i="183"/>
  <c r="T76" i="183" s="1"/>
  <c r="N77" i="183"/>
  <c r="T77" i="183" s="1"/>
  <c r="N78" i="183"/>
  <c r="T78" i="183"/>
  <c r="N54" i="183"/>
  <c r="T54" i="183" s="1"/>
  <c r="N55" i="183"/>
  <c r="T55" i="183" s="1"/>
  <c r="N56" i="183"/>
  <c r="T56" i="183" s="1"/>
  <c r="N57" i="183"/>
  <c r="T57" i="183"/>
  <c r="N58" i="183"/>
  <c r="T58" i="183" s="1"/>
  <c r="N59" i="183"/>
  <c r="N70" i="183"/>
  <c r="T70" i="183" s="1"/>
  <c r="N71" i="183"/>
  <c r="T71" i="183"/>
  <c r="N69" i="183"/>
  <c r="T69" i="183" s="1"/>
  <c r="N62" i="183"/>
  <c r="T62" i="183" s="1"/>
  <c r="N63" i="183"/>
  <c r="T63" i="183" s="1"/>
  <c r="N30" i="183"/>
  <c r="T30" i="183"/>
  <c r="N32" i="183"/>
  <c r="T32" i="183" s="1"/>
  <c r="N31" i="183"/>
  <c r="T31" i="183" s="1"/>
  <c r="N36" i="183"/>
  <c r="T36" i="183" s="1"/>
  <c r="N37" i="183"/>
  <c r="T37" i="183"/>
  <c r="N40" i="183"/>
  <c r="T40" i="183" s="1"/>
  <c r="N42" i="183"/>
  <c r="T42" i="183" s="1"/>
  <c r="O20" i="183"/>
  <c r="I30" i="183"/>
  <c r="I31" i="183"/>
  <c r="I32" i="183"/>
  <c r="I36" i="183"/>
  <c r="I38" i="183" s="1"/>
  <c r="I37" i="183"/>
  <c r="I40" i="183"/>
  <c r="I42" i="183"/>
  <c r="I51" i="183"/>
  <c r="I50" i="183"/>
  <c r="I54" i="183"/>
  <c r="O54" i="183" s="1"/>
  <c r="I55" i="183"/>
  <c r="I56" i="183"/>
  <c r="I57" i="183"/>
  <c r="I58" i="183"/>
  <c r="O58" i="183" s="1"/>
  <c r="I59" i="183"/>
  <c r="I63" i="183"/>
  <c r="I62" i="183"/>
  <c r="I67" i="183" s="1"/>
  <c r="I69" i="183"/>
  <c r="I70" i="183"/>
  <c r="O70" i="183" s="1"/>
  <c r="I71" i="183"/>
  <c r="O71" i="183" s="1"/>
  <c r="I76" i="183"/>
  <c r="I77" i="183"/>
  <c r="I78" i="183"/>
  <c r="I87" i="183"/>
  <c r="I89" i="183"/>
  <c r="I90" i="183"/>
  <c r="I93" i="183"/>
  <c r="I94" i="183"/>
  <c r="O94" i="183" s="1"/>
  <c r="I95" i="183"/>
  <c r="O95" i="183"/>
  <c r="I96" i="183"/>
  <c r="I97" i="183"/>
  <c r="O97" i="183" s="1"/>
  <c r="I101" i="183"/>
  <c r="I100" i="183"/>
  <c r="O21" i="183"/>
  <c r="O8" i="183"/>
  <c r="M16" i="183"/>
  <c r="M22" i="183"/>
  <c r="M98" i="183"/>
  <c r="M91" i="183"/>
  <c r="M102" i="183"/>
  <c r="M52" i="183"/>
  <c r="M79" i="183"/>
  <c r="M60" i="183"/>
  <c r="M80" i="183" s="1"/>
  <c r="M74" i="183"/>
  <c r="M38" i="183"/>
  <c r="M43" i="183" s="1"/>
  <c r="L16" i="183"/>
  <c r="L22" i="183"/>
  <c r="L23" i="183" s="1"/>
  <c r="L98" i="183"/>
  <c r="L91" i="183"/>
  <c r="L102" i="183"/>
  <c r="L52" i="183"/>
  <c r="L79" i="183"/>
  <c r="L60" i="183"/>
  <c r="L74" i="183"/>
  <c r="L38" i="183"/>
  <c r="L43" i="183" s="1"/>
  <c r="K16" i="183"/>
  <c r="K22" i="183"/>
  <c r="K23" i="183" s="1"/>
  <c r="K98" i="183"/>
  <c r="K91" i="183"/>
  <c r="K102" i="183"/>
  <c r="K52" i="183"/>
  <c r="K79" i="183"/>
  <c r="K60" i="183"/>
  <c r="K74" i="183"/>
  <c r="K38" i="183"/>
  <c r="K43" i="183" s="1"/>
  <c r="E18" i="183"/>
  <c r="E20" i="183"/>
  <c r="E21" i="183"/>
  <c r="E7" i="183"/>
  <c r="E8" i="183"/>
  <c r="J8" i="183" s="1"/>
  <c r="E9" i="183"/>
  <c r="E10" i="183"/>
  <c r="J10" i="183" s="1"/>
  <c r="E11" i="183"/>
  <c r="J11" i="183" s="1"/>
  <c r="E12" i="183"/>
  <c r="J12" i="183" s="1"/>
  <c r="E14" i="183"/>
  <c r="E15" i="183"/>
  <c r="E5" i="267"/>
  <c r="E6" i="267"/>
  <c r="C7" i="267"/>
  <c r="D7" i="267"/>
  <c r="B9" i="267"/>
  <c r="B14" i="267" s="1"/>
  <c r="B19" i="267" s="1"/>
  <c r="B24" i="267" s="1"/>
  <c r="E10" i="267"/>
  <c r="E11" i="267"/>
  <c r="C12" i="267"/>
  <c r="D12" i="267"/>
  <c r="E15" i="267"/>
  <c r="E16" i="267"/>
  <c r="E20" i="267"/>
  <c r="E21" i="267"/>
  <c r="D22" i="267"/>
  <c r="E25" i="267"/>
  <c r="E26" i="267"/>
  <c r="C27" i="267"/>
  <c r="D27" i="267"/>
  <c r="E6" i="268"/>
  <c r="D7" i="268"/>
  <c r="E11" i="268"/>
  <c r="D12" i="268"/>
  <c r="E15" i="268"/>
  <c r="E16" i="268"/>
  <c r="C17" i="268"/>
  <c r="E21" i="268"/>
  <c r="D22" i="268"/>
  <c r="E25" i="268"/>
  <c r="D27" i="268"/>
  <c r="H52" i="48"/>
  <c r="H56" i="48" s="1"/>
  <c r="H59" i="49"/>
  <c r="G5" i="261"/>
  <c r="I5" i="261"/>
  <c r="K5" i="261"/>
  <c r="M5" i="261"/>
  <c r="O5" i="261"/>
  <c r="G6" i="261"/>
  <c r="I6" i="261"/>
  <c r="K6" i="261"/>
  <c r="M6" i="261"/>
  <c r="O6" i="261"/>
  <c r="G7" i="261"/>
  <c r="I7" i="261"/>
  <c r="K7" i="261"/>
  <c r="M7" i="261"/>
  <c r="O7" i="261"/>
  <c r="G8" i="261"/>
  <c r="I8" i="261"/>
  <c r="K8" i="261"/>
  <c r="M8" i="261"/>
  <c r="O8" i="261"/>
  <c r="G9" i="261"/>
  <c r="I9" i="261"/>
  <c r="J9" i="261"/>
  <c r="M9" i="261"/>
  <c r="G10" i="261"/>
  <c r="I10" i="261"/>
  <c r="K10" i="261"/>
  <c r="M10" i="261"/>
  <c r="O10" i="261"/>
  <c r="G11" i="261"/>
  <c r="I11" i="261"/>
  <c r="K11" i="261"/>
  <c r="M11" i="261"/>
  <c r="O11" i="261"/>
  <c r="G12" i="261"/>
  <c r="I12" i="261"/>
  <c r="K12" i="261"/>
  <c r="M12" i="261"/>
  <c r="O12" i="261"/>
  <c r="G13" i="261"/>
  <c r="I13" i="261"/>
  <c r="K13" i="261"/>
  <c r="M13" i="261"/>
  <c r="O13" i="261"/>
  <c r="G14" i="261"/>
  <c r="I14" i="261"/>
  <c r="K14" i="261"/>
  <c r="M14" i="261"/>
  <c r="O14" i="261"/>
  <c r="G16" i="261"/>
  <c r="I16" i="261"/>
  <c r="K16" i="261"/>
  <c r="M16" i="261"/>
  <c r="O16" i="261"/>
  <c r="G17" i="261"/>
  <c r="I17" i="261"/>
  <c r="K17" i="261"/>
  <c r="M17" i="261"/>
  <c r="O17" i="261"/>
  <c r="G18" i="261"/>
  <c r="I18" i="261"/>
  <c r="K18" i="261"/>
  <c r="M18" i="261"/>
  <c r="O18" i="261"/>
  <c r="G20" i="261"/>
  <c r="I20" i="261"/>
  <c r="K20" i="261"/>
  <c r="M20" i="261"/>
  <c r="O20" i="261"/>
  <c r="G21" i="261"/>
  <c r="I21" i="261"/>
  <c r="K21" i="261"/>
  <c r="M21" i="261"/>
  <c r="O21" i="261"/>
  <c r="G22" i="261"/>
  <c r="I22" i="261"/>
  <c r="K22" i="261"/>
  <c r="M22" i="261"/>
  <c r="O22" i="261"/>
  <c r="G23" i="261"/>
  <c r="I23" i="261"/>
  <c r="K23" i="261"/>
  <c r="M23" i="261"/>
  <c r="O23" i="261"/>
  <c r="G24" i="261"/>
  <c r="I24" i="261"/>
  <c r="K24" i="261"/>
  <c r="M24" i="261"/>
  <c r="O24" i="261"/>
  <c r="G27" i="261"/>
  <c r="I27" i="261"/>
  <c r="K27" i="261"/>
  <c r="M27" i="261"/>
  <c r="O27" i="261"/>
  <c r="G26" i="261"/>
  <c r="I26" i="261"/>
  <c r="K26" i="261"/>
  <c r="M26" i="261"/>
  <c r="O26" i="261"/>
  <c r="G28" i="261"/>
  <c r="I28" i="261"/>
  <c r="K28" i="261"/>
  <c r="M28" i="261"/>
  <c r="O28" i="261"/>
  <c r="G29" i="261"/>
  <c r="I29" i="261"/>
  <c r="K29" i="261"/>
  <c r="M29" i="261"/>
  <c r="O29" i="261"/>
  <c r="G31" i="261"/>
  <c r="I31" i="261"/>
  <c r="K31" i="261"/>
  <c r="M31" i="261"/>
  <c r="O31" i="261"/>
  <c r="G34" i="261"/>
  <c r="I34" i="261"/>
  <c r="K34" i="261"/>
  <c r="M34" i="261"/>
  <c r="O34" i="261"/>
  <c r="G35" i="261"/>
  <c r="I35" i="261"/>
  <c r="K35" i="261"/>
  <c r="M35" i="261"/>
  <c r="O35" i="261"/>
  <c r="G36" i="261"/>
  <c r="I36" i="261"/>
  <c r="K36" i="261"/>
  <c r="M36" i="261"/>
  <c r="O36" i="261"/>
  <c r="G37" i="261"/>
  <c r="I37" i="261"/>
  <c r="K37" i="261"/>
  <c r="M37" i="261"/>
  <c r="O37" i="261"/>
  <c r="G39" i="261"/>
  <c r="I39" i="261"/>
  <c r="K39" i="261"/>
  <c r="M39" i="261"/>
  <c r="O39" i="261"/>
  <c r="G40" i="261"/>
  <c r="I40" i="261"/>
  <c r="K40" i="261"/>
  <c r="M40" i="261"/>
  <c r="O40" i="261"/>
  <c r="G41" i="261"/>
  <c r="I41" i="261"/>
  <c r="K41" i="261"/>
  <c r="M41" i="261"/>
  <c r="O41" i="261"/>
  <c r="G42" i="261"/>
  <c r="I42" i="261"/>
  <c r="K42" i="261"/>
  <c r="M42" i="261"/>
  <c r="O42" i="261"/>
  <c r="G43" i="261"/>
  <c r="I43" i="261"/>
  <c r="K43" i="261"/>
  <c r="M43" i="261"/>
  <c r="O43" i="261"/>
  <c r="B44" i="261"/>
  <c r="B48" i="261" s="1"/>
  <c r="C44" i="261"/>
  <c r="C48" i="261" s="1"/>
  <c r="D44" i="261"/>
  <c r="D48" i="261" s="1"/>
  <c r="E44" i="261"/>
  <c r="E48" i="261" s="1"/>
  <c r="F44" i="261"/>
  <c r="F48" i="261" s="1"/>
  <c r="G45" i="261"/>
  <c r="I45" i="261"/>
  <c r="J45" i="261"/>
  <c r="K45" i="261"/>
  <c r="N45" i="261"/>
  <c r="N48" i="261"/>
  <c r="P45" i="261"/>
  <c r="G46" i="261"/>
  <c r="I46" i="261"/>
  <c r="J46" i="261"/>
  <c r="K46" i="261" s="1"/>
  <c r="W12" i="27"/>
  <c r="W11" i="27"/>
  <c r="W10" i="27"/>
  <c r="W9" i="27"/>
  <c r="W8" i="27"/>
  <c r="W7" i="27"/>
  <c r="W6" i="27"/>
  <c r="W5" i="27"/>
  <c r="V12" i="27"/>
  <c r="V11" i="27"/>
  <c r="V10" i="27"/>
  <c r="V9" i="27"/>
  <c r="V8" i="27"/>
  <c r="V7" i="27"/>
  <c r="V6" i="27"/>
  <c r="V5" i="27"/>
  <c r="U12" i="27"/>
  <c r="U11" i="27"/>
  <c r="U10" i="27"/>
  <c r="U9" i="27"/>
  <c r="U8" i="27"/>
  <c r="U7" i="27"/>
  <c r="U6" i="27"/>
  <c r="U5" i="27"/>
  <c r="U13" i="27" s="1"/>
  <c r="T12" i="27"/>
  <c r="T11" i="27"/>
  <c r="T10" i="27"/>
  <c r="T9" i="27"/>
  <c r="T8" i="27"/>
  <c r="T7" i="27"/>
  <c r="T6" i="27"/>
  <c r="T5" i="27"/>
  <c r="H6" i="27"/>
  <c r="H8" i="27"/>
  <c r="H10" i="27"/>
  <c r="H12" i="27"/>
  <c r="H14" i="27"/>
  <c r="H16" i="27"/>
  <c r="H20" i="27"/>
  <c r="H22" i="27"/>
  <c r="F6" i="27"/>
  <c r="F8" i="27"/>
  <c r="F10" i="27"/>
  <c r="F12" i="27"/>
  <c r="F14" i="27"/>
  <c r="F16" i="27"/>
  <c r="F20" i="27"/>
  <c r="F22" i="27"/>
  <c r="D6" i="27"/>
  <c r="D8" i="27"/>
  <c r="D10" i="27"/>
  <c r="D12" i="27"/>
  <c r="D14" i="27"/>
  <c r="D16" i="27"/>
  <c r="D20" i="27"/>
  <c r="D22" i="27"/>
  <c r="S5" i="27"/>
  <c r="S6" i="27"/>
  <c r="S7" i="27"/>
  <c r="S8" i="27"/>
  <c r="S9" i="27"/>
  <c r="S10" i="27"/>
  <c r="S11" i="27"/>
  <c r="S12" i="27"/>
  <c r="T4" i="27"/>
  <c r="U4" i="27" s="1"/>
  <c r="V4" i="27" s="1"/>
  <c r="W4" i="27" s="1"/>
  <c r="I51" i="29"/>
  <c r="I49" i="29"/>
  <c r="I48" i="29"/>
  <c r="I47" i="29"/>
  <c r="I44" i="29"/>
  <c r="I43" i="29"/>
  <c r="I42" i="29"/>
  <c r="I41" i="29"/>
  <c r="I40" i="29"/>
  <c r="I39" i="29"/>
  <c r="I38" i="29"/>
  <c r="I37" i="29"/>
  <c r="I36" i="29"/>
  <c r="I34" i="29"/>
  <c r="I32" i="29"/>
  <c r="I31" i="29"/>
  <c r="I30" i="29"/>
  <c r="I29" i="29"/>
  <c r="I28" i="29"/>
  <c r="I26" i="29"/>
  <c r="I24" i="29"/>
  <c r="I23" i="29"/>
  <c r="I22" i="29"/>
  <c r="I21" i="29"/>
  <c r="I20" i="29"/>
  <c r="I19" i="29"/>
  <c r="I18" i="29"/>
  <c r="I17" i="29"/>
  <c r="I16" i="29"/>
  <c r="I14" i="29"/>
  <c r="I13" i="29"/>
  <c r="I12" i="29"/>
  <c r="I11" i="29"/>
  <c r="I10" i="29"/>
  <c r="I9" i="29"/>
  <c r="I8" i="29"/>
  <c r="I7" i="29"/>
  <c r="I6" i="29"/>
  <c r="D11" i="159"/>
  <c r="F11" i="159"/>
  <c r="B13" i="159"/>
  <c r="C13" i="159"/>
  <c r="D13" i="159" s="1"/>
  <c r="B22" i="159"/>
  <c r="C22" i="159"/>
  <c r="H21" i="159"/>
  <c r="B27" i="159"/>
  <c r="D27" i="159" s="1"/>
  <c r="C27" i="159"/>
  <c r="E27" i="159"/>
  <c r="B33" i="159"/>
  <c r="C33" i="159"/>
  <c r="E33" i="159"/>
  <c r="C36" i="159"/>
  <c r="E36" i="159" s="1"/>
  <c r="G36" i="159" s="1"/>
  <c r="I36" i="159" s="1"/>
  <c r="K36" i="159" s="1"/>
  <c r="H39" i="159"/>
  <c r="C40" i="159"/>
  <c r="H42" i="159"/>
  <c r="C49" i="159"/>
  <c r="H47" i="159"/>
  <c r="B49" i="159"/>
  <c r="B54" i="159"/>
  <c r="C54" i="159"/>
  <c r="E54" i="159"/>
  <c r="H56" i="159"/>
  <c r="C65" i="159"/>
  <c r="E65" i="159" s="1"/>
  <c r="G65" i="159" s="1"/>
  <c r="I65" i="159" s="1"/>
  <c r="K65" i="159" s="1"/>
  <c r="C81" i="159"/>
  <c r="B81" i="159"/>
  <c r="B89" i="159"/>
  <c r="C89" i="159"/>
  <c r="E89" i="159"/>
  <c r="H91" i="159"/>
  <c r="B96" i="159"/>
  <c r="C96" i="159"/>
  <c r="C99" i="159"/>
  <c r="E99" i="159" s="1"/>
  <c r="G99" i="159" s="1"/>
  <c r="I99" i="159" s="1"/>
  <c r="K99" i="159" s="1"/>
  <c r="B107" i="159"/>
  <c r="C107" i="159"/>
  <c r="F107" i="159" s="1"/>
  <c r="E107" i="159"/>
  <c r="B121" i="159"/>
  <c r="C121" i="159"/>
  <c r="B128" i="159"/>
  <c r="D128" i="159" s="1"/>
  <c r="C128" i="159"/>
  <c r="F128" i="159" s="1"/>
  <c r="E128" i="159"/>
  <c r="D10" i="159"/>
  <c r="F10" i="159"/>
  <c r="D109" i="159"/>
  <c r="F109" i="159"/>
  <c r="F127" i="159"/>
  <c r="F126" i="159"/>
  <c r="F125" i="159"/>
  <c r="F124" i="159"/>
  <c r="F120" i="159"/>
  <c r="F119" i="159"/>
  <c r="F118" i="159"/>
  <c r="F117" i="159"/>
  <c r="F116" i="159"/>
  <c r="F115" i="159"/>
  <c r="F114" i="159"/>
  <c r="F113" i="159"/>
  <c r="F111" i="159"/>
  <c r="F106" i="159"/>
  <c r="F105" i="159"/>
  <c r="F104" i="159"/>
  <c r="F103" i="159"/>
  <c r="F102" i="159"/>
  <c r="F101" i="159"/>
  <c r="F95" i="159"/>
  <c r="F94" i="159"/>
  <c r="F93" i="159"/>
  <c r="F92" i="159"/>
  <c r="F88" i="159"/>
  <c r="F87" i="159"/>
  <c r="F86" i="159"/>
  <c r="F85" i="159"/>
  <c r="F84" i="159"/>
  <c r="F83" i="159"/>
  <c r="F79" i="159"/>
  <c r="F78" i="159"/>
  <c r="F71" i="159"/>
  <c r="F70" i="159"/>
  <c r="F68" i="159"/>
  <c r="F67" i="159"/>
  <c r="D95" i="159"/>
  <c r="D94" i="159"/>
  <c r="D93" i="159"/>
  <c r="D92" i="159"/>
  <c r="D91" i="159"/>
  <c r="D88" i="159"/>
  <c r="D87" i="159"/>
  <c r="D86" i="159"/>
  <c r="D85" i="159"/>
  <c r="D84" i="159"/>
  <c r="D83" i="159"/>
  <c r="D80" i="159"/>
  <c r="D79" i="159"/>
  <c r="D78" i="159"/>
  <c r="D71" i="159"/>
  <c r="D70" i="159"/>
  <c r="D68" i="159"/>
  <c r="D67" i="159"/>
  <c r="F61" i="159"/>
  <c r="F56" i="159"/>
  <c r="F53" i="159"/>
  <c r="F52" i="159"/>
  <c r="F51" i="159"/>
  <c r="F48" i="159"/>
  <c r="F47" i="159"/>
  <c r="F44" i="159"/>
  <c r="F42" i="159"/>
  <c r="F39" i="159"/>
  <c r="F38" i="159"/>
  <c r="F32" i="159"/>
  <c r="F31" i="159"/>
  <c r="F30" i="159"/>
  <c r="F29" i="159"/>
  <c r="F27" i="159"/>
  <c r="F26" i="159"/>
  <c r="F25" i="159"/>
  <c r="F24" i="159"/>
  <c r="F21" i="159"/>
  <c r="F20" i="159"/>
  <c r="F19" i="159"/>
  <c r="F18" i="159"/>
  <c r="F17" i="159"/>
  <c r="F16" i="159"/>
  <c r="F15" i="159"/>
  <c r="F12" i="159"/>
  <c r="F9" i="159"/>
  <c r="F6" i="159"/>
  <c r="C4" i="159"/>
  <c r="E4" i="159" s="1"/>
  <c r="G4" i="159" s="1"/>
  <c r="I4" i="159" s="1"/>
  <c r="K4" i="159" s="1"/>
  <c r="F53" i="36"/>
  <c r="F57" i="36" s="1"/>
  <c r="J13" i="239"/>
  <c r="K11" i="239"/>
  <c r="K9" i="239"/>
  <c r="K7" i="239"/>
  <c r="G11" i="259"/>
  <c r="G6" i="259"/>
  <c r="G7" i="259"/>
  <c r="G8" i="259"/>
  <c r="G9" i="259"/>
  <c r="G10" i="259"/>
  <c r="M113" i="161"/>
  <c r="L113" i="161"/>
  <c r="K113" i="161"/>
  <c r="M112" i="161"/>
  <c r="L112" i="161"/>
  <c r="K112" i="161"/>
  <c r="M111" i="161"/>
  <c r="L111" i="161"/>
  <c r="K111" i="161"/>
  <c r="M110" i="161"/>
  <c r="L110" i="161"/>
  <c r="K110" i="161"/>
  <c r="M109" i="161"/>
  <c r="L109" i="161"/>
  <c r="K109" i="161"/>
  <c r="M108" i="161"/>
  <c r="L108" i="161"/>
  <c r="K108" i="161"/>
  <c r="M106" i="161"/>
  <c r="L106" i="161"/>
  <c r="K106" i="161"/>
  <c r="M100" i="161"/>
  <c r="L100" i="161"/>
  <c r="K100" i="161"/>
  <c r="M99" i="161"/>
  <c r="L99" i="161"/>
  <c r="K99" i="161"/>
  <c r="M96" i="161"/>
  <c r="L96" i="161"/>
  <c r="K96" i="161"/>
  <c r="M95" i="161"/>
  <c r="L95" i="161"/>
  <c r="K95" i="161"/>
  <c r="M94" i="161"/>
  <c r="L94" i="161"/>
  <c r="K94" i="161"/>
  <c r="M93" i="161"/>
  <c r="L93" i="161"/>
  <c r="K93" i="161"/>
  <c r="M90" i="161"/>
  <c r="L90" i="161"/>
  <c r="K90" i="161"/>
  <c r="K91" i="161" s="1"/>
  <c r="M89" i="161"/>
  <c r="L89" i="161"/>
  <c r="K89" i="161"/>
  <c r="M87" i="161"/>
  <c r="L87" i="161"/>
  <c r="K87" i="161"/>
  <c r="M78" i="161"/>
  <c r="L78" i="161"/>
  <c r="K78" i="161"/>
  <c r="M77" i="161"/>
  <c r="L77" i="161"/>
  <c r="K77" i="161"/>
  <c r="M75" i="161"/>
  <c r="L75" i="161"/>
  <c r="K75" i="161"/>
  <c r="M65" i="161"/>
  <c r="L65" i="161"/>
  <c r="K65" i="161"/>
  <c r="M61" i="161"/>
  <c r="L61" i="161"/>
  <c r="K61" i="161"/>
  <c r="M58" i="161"/>
  <c r="L58" i="161"/>
  <c r="K58" i="161"/>
  <c r="M57" i="161"/>
  <c r="L57" i="161"/>
  <c r="K57" i="161"/>
  <c r="M56" i="161"/>
  <c r="L56" i="161"/>
  <c r="K56" i="161"/>
  <c r="M55" i="161"/>
  <c r="L55" i="161"/>
  <c r="K55" i="161"/>
  <c r="M54" i="161"/>
  <c r="L54" i="161"/>
  <c r="K54" i="161"/>
  <c r="M51" i="161"/>
  <c r="L51" i="161"/>
  <c r="L52" i="161" s="1"/>
  <c r="K51" i="161"/>
  <c r="M50" i="161"/>
  <c r="L50" i="161"/>
  <c r="K50" i="161"/>
  <c r="M49" i="161"/>
  <c r="L49" i="161"/>
  <c r="K49" i="161"/>
  <c r="K52" i="161" s="1"/>
  <c r="M41" i="161"/>
  <c r="L41" i="161"/>
  <c r="K41" i="161"/>
  <c r="M39" i="161"/>
  <c r="L39" i="161"/>
  <c r="K39" i="161"/>
  <c r="N31" i="161"/>
  <c r="M29" i="161"/>
  <c r="L29" i="161"/>
  <c r="L37" i="161" s="1"/>
  <c r="K29" i="161"/>
  <c r="M20" i="161"/>
  <c r="L20" i="161"/>
  <c r="K20" i="161"/>
  <c r="M19" i="161"/>
  <c r="L19" i="161"/>
  <c r="K19" i="161"/>
  <c r="M18" i="161"/>
  <c r="L18" i="161"/>
  <c r="K18" i="161"/>
  <c r="M17" i="161"/>
  <c r="M21" i="161"/>
  <c r="L17" i="161"/>
  <c r="K17" i="161"/>
  <c r="K8" i="161"/>
  <c r="L8" i="161"/>
  <c r="M8" i="161"/>
  <c r="K9" i="161"/>
  <c r="L9" i="161"/>
  <c r="M9" i="161"/>
  <c r="K10" i="161"/>
  <c r="L10" i="161"/>
  <c r="M10" i="161"/>
  <c r="K11" i="161"/>
  <c r="L11" i="161"/>
  <c r="M11" i="161"/>
  <c r="K12" i="161"/>
  <c r="L12" i="161"/>
  <c r="M12" i="161"/>
  <c r="K13" i="161"/>
  <c r="L13" i="161"/>
  <c r="M13" i="161"/>
  <c r="K14" i="161"/>
  <c r="L14" i="161"/>
  <c r="M14" i="161"/>
  <c r="M7" i="161"/>
  <c r="L7" i="161"/>
  <c r="K7" i="161"/>
  <c r="F18" i="161"/>
  <c r="G18" i="161"/>
  <c r="H18" i="161"/>
  <c r="B18" i="161"/>
  <c r="C18" i="161"/>
  <c r="D18" i="161"/>
  <c r="N51" i="160"/>
  <c r="T51" i="160"/>
  <c r="N50" i="160"/>
  <c r="N49" i="160"/>
  <c r="T49" i="160" s="1"/>
  <c r="M52" i="160"/>
  <c r="I51" i="160"/>
  <c r="J51" i="160" s="1"/>
  <c r="I50" i="160"/>
  <c r="O50" i="160" s="1"/>
  <c r="I49" i="160"/>
  <c r="D52" i="160"/>
  <c r="C52" i="160"/>
  <c r="B52" i="160"/>
  <c r="F50" i="161"/>
  <c r="G50" i="161"/>
  <c r="H50" i="161"/>
  <c r="F49" i="161"/>
  <c r="G49" i="161"/>
  <c r="H49" i="161"/>
  <c r="I51" i="161"/>
  <c r="B50" i="161"/>
  <c r="C50" i="161"/>
  <c r="D50" i="161"/>
  <c r="B49" i="161"/>
  <c r="C49" i="161"/>
  <c r="D49" i="161"/>
  <c r="B8" i="161"/>
  <c r="C8" i="161"/>
  <c r="D8" i="161"/>
  <c r="F8" i="161"/>
  <c r="G8" i="161"/>
  <c r="H8" i="161"/>
  <c r="B9" i="161"/>
  <c r="C9" i="161"/>
  <c r="D9" i="161"/>
  <c r="F9" i="161"/>
  <c r="G9" i="161"/>
  <c r="H9" i="161"/>
  <c r="B10" i="161"/>
  <c r="C10" i="161"/>
  <c r="D10" i="161"/>
  <c r="F10" i="161"/>
  <c r="G10" i="161"/>
  <c r="H10" i="161"/>
  <c r="B11" i="161"/>
  <c r="C11" i="161"/>
  <c r="D11" i="161"/>
  <c r="F11" i="161"/>
  <c r="G11" i="161"/>
  <c r="H11" i="161"/>
  <c r="B12" i="161"/>
  <c r="C12" i="161"/>
  <c r="D12" i="161"/>
  <c r="F12" i="161"/>
  <c r="G12" i="161"/>
  <c r="H12" i="161"/>
  <c r="B13" i="161"/>
  <c r="C13" i="161"/>
  <c r="D13" i="161"/>
  <c r="F13" i="161"/>
  <c r="G13" i="161"/>
  <c r="H13" i="161"/>
  <c r="B14" i="161"/>
  <c r="C14" i="161"/>
  <c r="D14" i="161"/>
  <c r="F14" i="161"/>
  <c r="G14" i="161"/>
  <c r="H14" i="161"/>
  <c r="B7" i="161"/>
  <c r="C7" i="161"/>
  <c r="D7" i="161"/>
  <c r="F7" i="161"/>
  <c r="G7" i="161"/>
  <c r="H7" i="161"/>
  <c r="H15" i="161" s="1"/>
  <c r="F106" i="161"/>
  <c r="G106" i="161"/>
  <c r="H106" i="161"/>
  <c r="F108" i="161"/>
  <c r="G108" i="161"/>
  <c r="I108" i="161" s="1"/>
  <c r="H108" i="161"/>
  <c r="F109" i="161"/>
  <c r="G109" i="161"/>
  <c r="H109" i="161"/>
  <c r="F110" i="161"/>
  <c r="G110" i="161"/>
  <c r="H110" i="161"/>
  <c r="F111" i="161"/>
  <c r="I111" i="161" s="1"/>
  <c r="G111" i="161"/>
  <c r="H111" i="161"/>
  <c r="F112" i="161"/>
  <c r="G112" i="161"/>
  <c r="H112" i="161"/>
  <c r="F113" i="161"/>
  <c r="G113" i="161"/>
  <c r="H113" i="161"/>
  <c r="F87" i="161"/>
  <c r="G87" i="161"/>
  <c r="H87" i="161"/>
  <c r="F89" i="161"/>
  <c r="G89" i="161"/>
  <c r="H89" i="161"/>
  <c r="F90" i="161"/>
  <c r="G90" i="161"/>
  <c r="H90" i="161"/>
  <c r="F93" i="161"/>
  <c r="G93" i="161"/>
  <c r="H93" i="161"/>
  <c r="I93" i="161" s="1"/>
  <c r="F94" i="161"/>
  <c r="G94" i="161"/>
  <c r="H94" i="161"/>
  <c r="F95" i="161"/>
  <c r="G95" i="161"/>
  <c r="H95" i="161"/>
  <c r="F96" i="161"/>
  <c r="G96" i="161"/>
  <c r="H96" i="161"/>
  <c r="F100" i="161"/>
  <c r="G100" i="161"/>
  <c r="H100" i="161"/>
  <c r="I100" i="161" s="1"/>
  <c r="F99" i="161"/>
  <c r="G99" i="161"/>
  <c r="H99" i="161"/>
  <c r="F54" i="161"/>
  <c r="G54" i="161"/>
  <c r="H54" i="161"/>
  <c r="F55" i="161"/>
  <c r="G55" i="161"/>
  <c r="I55" i="161" s="1"/>
  <c r="H55" i="161"/>
  <c r="F56" i="161"/>
  <c r="G56" i="161"/>
  <c r="H56" i="161"/>
  <c r="H59" i="161" s="1"/>
  <c r="F57" i="161"/>
  <c r="G57" i="161"/>
  <c r="H57" i="161"/>
  <c r="F58" i="161"/>
  <c r="G58" i="161"/>
  <c r="H58" i="161"/>
  <c r="F65" i="161"/>
  <c r="G65" i="161"/>
  <c r="H65" i="161"/>
  <c r="F61" i="161"/>
  <c r="G61" i="161"/>
  <c r="H61" i="161"/>
  <c r="F75" i="161"/>
  <c r="G75" i="161"/>
  <c r="H75" i="161"/>
  <c r="F77" i="161"/>
  <c r="I77" i="161" s="1"/>
  <c r="G77" i="161"/>
  <c r="H77" i="161"/>
  <c r="F78" i="161"/>
  <c r="G78" i="161"/>
  <c r="G79" i="161" s="1"/>
  <c r="H78" i="161"/>
  <c r="F41" i="161"/>
  <c r="G41" i="161"/>
  <c r="H41" i="161"/>
  <c r="I41" i="161" s="1"/>
  <c r="F39" i="161"/>
  <c r="G39" i="161"/>
  <c r="H39" i="161"/>
  <c r="F29" i="161"/>
  <c r="G29" i="161"/>
  <c r="H29" i="161"/>
  <c r="F17" i="161"/>
  <c r="G17" i="161"/>
  <c r="G21" i="161" s="1"/>
  <c r="H17" i="161"/>
  <c r="F19" i="161"/>
  <c r="G19" i="161"/>
  <c r="H19" i="161"/>
  <c r="F20" i="161"/>
  <c r="G20" i="161"/>
  <c r="H20" i="161"/>
  <c r="M91" i="161"/>
  <c r="L91" i="161"/>
  <c r="O51" i="160"/>
  <c r="N18" i="160"/>
  <c r="T18" i="160" s="1"/>
  <c r="I18" i="160"/>
  <c r="E18" i="160"/>
  <c r="N17" i="160"/>
  <c r="T17" i="160" s="1"/>
  <c r="N19" i="160"/>
  <c r="T19" i="160" s="1"/>
  <c r="N20" i="160"/>
  <c r="T20" i="160" s="1"/>
  <c r="N8" i="160"/>
  <c r="T8" i="160" s="1"/>
  <c r="N9" i="160"/>
  <c r="T9" i="160" s="1"/>
  <c r="N10" i="160"/>
  <c r="T10" i="160" s="1"/>
  <c r="N11" i="160"/>
  <c r="T11" i="160" s="1"/>
  <c r="N12" i="160"/>
  <c r="T12" i="160" s="1"/>
  <c r="N13" i="160"/>
  <c r="T13" i="160" s="1"/>
  <c r="N14" i="160"/>
  <c r="T14" i="160" s="1"/>
  <c r="N7" i="160"/>
  <c r="N75" i="160"/>
  <c r="N77" i="160"/>
  <c r="N79" i="160" s="1"/>
  <c r="N78" i="160"/>
  <c r="N54" i="160"/>
  <c r="O54" i="160" s="1"/>
  <c r="N58" i="160"/>
  <c r="T58" i="160" s="1"/>
  <c r="N55" i="160"/>
  <c r="O55" i="160" s="1"/>
  <c r="N56" i="160"/>
  <c r="T56" i="160" s="1"/>
  <c r="N57" i="160"/>
  <c r="T57" i="160" s="1"/>
  <c r="N61" i="160"/>
  <c r="N65" i="160"/>
  <c r="T65" i="160" s="1"/>
  <c r="N87" i="160"/>
  <c r="N93" i="160"/>
  <c r="N94" i="160"/>
  <c r="T94" i="160" s="1"/>
  <c r="N95" i="160"/>
  <c r="T95" i="160" s="1"/>
  <c r="N96" i="160"/>
  <c r="T96" i="160" s="1"/>
  <c r="N89" i="160"/>
  <c r="N90" i="160"/>
  <c r="N99" i="160"/>
  <c r="T99" i="160" s="1"/>
  <c r="N100" i="160"/>
  <c r="N106" i="160"/>
  <c r="N108" i="160"/>
  <c r="N109" i="160"/>
  <c r="N110" i="160"/>
  <c r="N111" i="160"/>
  <c r="T111" i="160" s="1"/>
  <c r="N112" i="160"/>
  <c r="T112" i="160" s="1"/>
  <c r="N113" i="160"/>
  <c r="T113" i="160" s="1"/>
  <c r="N29" i="160"/>
  <c r="N30" i="160"/>
  <c r="N31" i="160"/>
  <c r="N35" i="160"/>
  <c r="T35" i="160" s="1"/>
  <c r="N36" i="160"/>
  <c r="T36" i="160" s="1"/>
  <c r="N39" i="160"/>
  <c r="N41" i="160"/>
  <c r="I17" i="160"/>
  <c r="I19" i="160"/>
  <c r="O19" i="160" s="1"/>
  <c r="I20" i="160"/>
  <c r="O20" i="160" s="1"/>
  <c r="I7" i="160"/>
  <c r="I8" i="160"/>
  <c r="O8" i="160" s="1"/>
  <c r="I9" i="160"/>
  <c r="I10" i="160"/>
  <c r="O10" i="160" s="1"/>
  <c r="I11" i="160"/>
  <c r="I12" i="160"/>
  <c r="O12" i="160" s="1"/>
  <c r="I13" i="160"/>
  <c r="I14" i="160"/>
  <c r="O14" i="160" s="1"/>
  <c r="I56" i="160"/>
  <c r="I57" i="160"/>
  <c r="J57" i="160" s="1"/>
  <c r="I65" i="160"/>
  <c r="I61" i="160"/>
  <c r="I75" i="160"/>
  <c r="I77" i="160"/>
  <c r="J77" i="160" s="1"/>
  <c r="I78" i="160"/>
  <c r="I29" i="160"/>
  <c r="I30" i="160"/>
  <c r="I31" i="160"/>
  <c r="O31" i="160" s="1"/>
  <c r="I35" i="160"/>
  <c r="I36" i="160"/>
  <c r="O36" i="160" s="1"/>
  <c r="I39" i="160"/>
  <c r="I41" i="160"/>
  <c r="I87" i="160"/>
  <c r="I89" i="160"/>
  <c r="O89" i="160" s="1"/>
  <c r="I90" i="160"/>
  <c r="I93" i="160"/>
  <c r="I94" i="160"/>
  <c r="I95" i="160"/>
  <c r="O95" i="160" s="1"/>
  <c r="I96" i="160"/>
  <c r="I100" i="160"/>
  <c r="I101" i="160" s="1"/>
  <c r="I99" i="160"/>
  <c r="I106" i="160"/>
  <c r="I108" i="160"/>
  <c r="I109" i="160"/>
  <c r="I110" i="160"/>
  <c r="I111" i="160"/>
  <c r="O111" i="160" s="1"/>
  <c r="I112" i="160"/>
  <c r="O112" i="160" s="1"/>
  <c r="I113" i="160"/>
  <c r="M21" i="160"/>
  <c r="M15" i="160"/>
  <c r="M79" i="160"/>
  <c r="M59" i="160"/>
  <c r="M80" i="160" s="1"/>
  <c r="M97" i="160"/>
  <c r="M91" i="160"/>
  <c r="M114" i="160"/>
  <c r="M37" i="160"/>
  <c r="M42" i="160" s="1"/>
  <c r="O108" i="160"/>
  <c r="O90" i="160"/>
  <c r="O69" i="160"/>
  <c r="O58" i="160"/>
  <c r="O49" i="160"/>
  <c r="O30" i="160"/>
  <c r="O7" i="160"/>
  <c r="E43" i="39"/>
  <c r="E47" i="39" s="1"/>
  <c r="D9" i="39"/>
  <c r="D43" i="39" s="1"/>
  <c r="C43" i="39"/>
  <c r="G77" i="187"/>
  <c r="G89" i="187"/>
  <c r="G17" i="187"/>
  <c r="G21" i="187"/>
  <c r="G39" i="187"/>
  <c r="G43" i="187"/>
  <c r="G47" i="187"/>
  <c r="G51" i="187"/>
  <c r="G63" i="187"/>
  <c r="G71" i="187"/>
  <c r="F16" i="196"/>
  <c r="H18" i="234"/>
  <c r="T92" i="185"/>
  <c r="N83" i="185"/>
  <c r="N103" i="185"/>
  <c r="O103" i="185" s="1"/>
  <c r="N104" i="185"/>
  <c r="N45" i="185"/>
  <c r="N46" i="185" s="1"/>
  <c r="N48" i="185"/>
  <c r="N49" i="185"/>
  <c r="N50" i="185"/>
  <c r="T50" i="185" s="1"/>
  <c r="N52" i="185"/>
  <c r="N65" i="185"/>
  <c r="T65" i="185" s="1"/>
  <c r="N66" i="185"/>
  <c r="T66" i="185" s="1"/>
  <c r="N67" i="185"/>
  <c r="O67" i="185" s="1"/>
  <c r="N71" i="185"/>
  <c r="N72" i="185"/>
  <c r="O72" i="185" s="1"/>
  <c r="N37" i="185"/>
  <c r="T37" i="185" s="1"/>
  <c r="N35" i="185"/>
  <c r="O35" i="185" s="1"/>
  <c r="N28" i="185"/>
  <c r="O28" i="185" s="1"/>
  <c r="N29" i="185"/>
  <c r="T29" i="185" s="1"/>
  <c r="N30" i="185"/>
  <c r="T30" i="185" s="1"/>
  <c r="N32" i="185"/>
  <c r="O32" i="185" s="1"/>
  <c r="N18" i="185"/>
  <c r="O18" i="185" s="1"/>
  <c r="N19" i="185"/>
  <c r="O19" i="185" s="1"/>
  <c r="N7" i="185"/>
  <c r="N8" i="185"/>
  <c r="N9" i="185"/>
  <c r="N10" i="185"/>
  <c r="T10" i="185" s="1"/>
  <c r="N11" i="185"/>
  <c r="N12" i="185"/>
  <c r="N13" i="185"/>
  <c r="N14" i="185"/>
  <c r="T14" i="185" s="1"/>
  <c r="R83" i="185"/>
  <c r="R87" i="185"/>
  <c r="R94" i="185"/>
  <c r="R98" i="185"/>
  <c r="R46" i="185"/>
  <c r="R73" i="185"/>
  <c r="R33" i="185"/>
  <c r="R38" i="185"/>
  <c r="R15" i="185"/>
  <c r="R21" i="185" s="1"/>
  <c r="Q83" i="185"/>
  <c r="Q87" i="185"/>
  <c r="Q94" i="185"/>
  <c r="Q99" i="185" s="1"/>
  <c r="Q98" i="185"/>
  <c r="Q46" i="185"/>
  <c r="Q73" i="185"/>
  <c r="Q74" i="185"/>
  <c r="Q33" i="185"/>
  <c r="Q38" i="185" s="1"/>
  <c r="Q15" i="185"/>
  <c r="Q21" i="185" s="1"/>
  <c r="P83" i="185"/>
  <c r="P87" i="185"/>
  <c r="P94" i="185"/>
  <c r="P98" i="185"/>
  <c r="P99" i="185" s="1"/>
  <c r="P46" i="185"/>
  <c r="P73" i="185"/>
  <c r="P74" i="185" s="1"/>
  <c r="P33" i="185"/>
  <c r="P38" i="185"/>
  <c r="P15" i="185"/>
  <c r="T103" i="185"/>
  <c r="T93" i="185"/>
  <c r="T91" i="185"/>
  <c r="T90" i="185"/>
  <c r="T89" i="185"/>
  <c r="T85" i="185"/>
  <c r="T82" i="185"/>
  <c r="T81" i="185"/>
  <c r="T67" i="185"/>
  <c r="T32" i="185"/>
  <c r="T19" i="185"/>
  <c r="E7" i="239"/>
  <c r="G7" i="239"/>
  <c r="I7" i="239"/>
  <c r="E9" i="239"/>
  <c r="G9" i="239"/>
  <c r="I9" i="239"/>
  <c r="E11" i="239"/>
  <c r="G11" i="239"/>
  <c r="I11" i="239"/>
  <c r="E13" i="239"/>
  <c r="I13" i="239"/>
  <c r="P5" i="234"/>
  <c r="Q5" i="234" s="1"/>
  <c r="R5" i="234" s="1"/>
  <c r="S5" i="234" s="1"/>
  <c r="D6" i="234"/>
  <c r="F6" i="234"/>
  <c r="H6" i="234"/>
  <c r="J6" i="234"/>
  <c r="O6" i="234"/>
  <c r="P6" i="234"/>
  <c r="Q6" i="234"/>
  <c r="R6" i="234"/>
  <c r="S6" i="234"/>
  <c r="O7" i="234"/>
  <c r="P7" i="234"/>
  <c r="Q7" i="234"/>
  <c r="R7" i="234"/>
  <c r="S7" i="234"/>
  <c r="D8" i="234"/>
  <c r="F8" i="234"/>
  <c r="H8" i="234"/>
  <c r="J8" i="234"/>
  <c r="O8" i="234"/>
  <c r="P8" i="234"/>
  <c r="Q8" i="234"/>
  <c r="R8" i="234"/>
  <c r="S8" i="234"/>
  <c r="O9" i="234"/>
  <c r="P9" i="234"/>
  <c r="Q9" i="234"/>
  <c r="R9" i="234"/>
  <c r="S9" i="234"/>
  <c r="D10" i="234"/>
  <c r="F10" i="234"/>
  <c r="H10" i="234"/>
  <c r="J10" i="234"/>
  <c r="O10" i="234"/>
  <c r="P10" i="234"/>
  <c r="Q10" i="234"/>
  <c r="R10" i="234"/>
  <c r="S10" i="234"/>
  <c r="O11" i="234"/>
  <c r="P11" i="234"/>
  <c r="Q11" i="234"/>
  <c r="R11" i="234"/>
  <c r="S11" i="234"/>
  <c r="D12" i="234"/>
  <c r="F12" i="234"/>
  <c r="H12" i="234"/>
  <c r="J12" i="234"/>
  <c r="O12" i="234"/>
  <c r="P12" i="234"/>
  <c r="Q12" i="234"/>
  <c r="R12" i="234"/>
  <c r="S12" i="234"/>
  <c r="O13" i="234"/>
  <c r="P13" i="234"/>
  <c r="Q13" i="234"/>
  <c r="R13" i="234"/>
  <c r="D14" i="234"/>
  <c r="F14" i="234"/>
  <c r="H14" i="234"/>
  <c r="J14" i="234"/>
  <c r="D16" i="234"/>
  <c r="F16" i="234"/>
  <c r="H16" i="234"/>
  <c r="J16" i="234"/>
  <c r="D20" i="234"/>
  <c r="F20" i="234"/>
  <c r="H20" i="234"/>
  <c r="J20" i="234"/>
  <c r="D22" i="234"/>
  <c r="F22" i="234"/>
  <c r="H22" i="234"/>
  <c r="J22" i="234"/>
  <c r="F24" i="234"/>
  <c r="J24" i="234"/>
  <c r="D15" i="233"/>
  <c r="G15" i="233"/>
  <c r="G52" i="48"/>
  <c r="G56" i="48" s="1"/>
  <c r="G59" i="49"/>
  <c r="D114" i="184"/>
  <c r="C114" i="184"/>
  <c r="B114" i="184"/>
  <c r="D113" i="184"/>
  <c r="C113" i="184"/>
  <c r="B113" i="184"/>
  <c r="D112" i="184"/>
  <c r="C112" i="184"/>
  <c r="B112" i="184"/>
  <c r="D111" i="184"/>
  <c r="C111" i="184"/>
  <c r="B111" i="184"/>
  <c r="D110" i="184"/>
  <c r="C110" i="184"/>
  <c r="B110" i="184"/>
  <c r="D109" i="184"/>
  <c r="C109" i="184"/>
  <c r="B109" i="184"/>
  <c r="D108" i="184"/>
  <c r="D115" i="184" s="1"/>
  <c r="C108" i="184"/>
  <c r="B108" i="184"/>
  <c r="D101" i="184"/>
  <c r="C101" i="184"/>
  <c r="B101" i="184"/>
  <c r="D100" i="184"/>
  <c r="C100" i="184"/>
  <c r="B100" i="184"/>
  <c r="D97" i="184"/>
  <c r="C97" i="184"/>
  <c r="B97" i="184"/>
  <c r="D96" i="184"/>
  <c r="C96" i="184"/>
  <c r="B96" i="184"/>
  <c r="D95" i="184"/>
  <c r="C95" i="184"/>
  <c r="B95" i="184"/>
  <c r="D94" i="184"/>
  <c r="C94" i="184"/>
  <c r="B94" i="184"/>
  <c r="D93" i="184"/>
  <c r="C93" i="184"/>
  <c r="B93" i="184"/>
  <c r="D90" i="184"/>
  <c r="C90" i="184"/>
  <c r="B90" i="184"/>
  <c r="D89" i="184"/>
  <c r="C89" i="184"/>
  <c r="B89" i="184"/>
  <c r="D87" i="184"/>
  <c r="C87" i="184"/>
  <c r="B87" i="184"/>
  <c r="D78" i="184"/>
  <c r="C78" i="184"/>
  <c r="B78" i="184"/>
  <c r="D77" i="184"/>
  <c r="C77" i="184"/>
  <c r="B77" i="184"/>
  <c r="D76" i="184"/>
  <c r="C76" i="184"/>
  <c r="B76" i="184"/>
  <c r="D73" i="184"/>
  <c r="C73" i="184"/>
  <c r="B73" i="184"/>
  <c r="D71" i="184"/>
  <c r="C71" i="184"/>
  <c r="B71" i="184"/>
  <c r="D69" i="184"/>
  <c r="C69" i="184"/>
  <c r="B69" i="184"/>
  <c r="D63" i="184"/>
  <c r="C63" i="184"/>
  <c r="B63" i="184"/>
  <c r="D62" i="184"/>
  <c r="D67" i="184" s="1"/>
  <c r="C62" i="184"/>
  <c r="B62" i="184"/>
  <c r="D58" i="184"/>
  <c r="C58" i="184"/>
  <c r="B58" i="184"/>
  <c r="D59" i="184"/>
  <c r="C59" i="184"/>
  <c r="B59" i="184"/>
  <c r="B54" i="184"/>
  <c r="B55" i="184"/>
  <c r="B56" i="184"/>
  <c r="B57" i="184"/>
  <c r="C54" i="184"/>
  <c r="C55" i="184"/>
  <c r="C56" i="184"/>
  <c r="C57" i="184"/>
  <c r="D54" i="184"/>
  <c r="D55" i="184"/>
  <c r="D56" i="184"/>
  <c r="D57" i="184"/>
  <c r="D51" i="184"/>
  <c r="C51" i="184"/>
  <c r="B51" i="184"/>
  <c r="D50" i="184"/>
  <c r="C50" i="184"/>
  <c r="B50" i="184"/>
  <c r="D42" i="184"/>
  <c r="C42" i="184"/>
  <c r="B42" i="184"/>
  <c r="D40" i="184"/>
  <c r="C40" i="184"/>
  <c r="B40" i="184"/>
  <c r="D37" i="184"/>
  <c r="C37" i="184"/>
  <c r="B37" i="184"/>
  <c r="D36" i="184"/>
  <c r="C36" i="184"/>
  <c r="B36" i="184"/>
  <c r="D32" i="184"/>
  <c r="C32" i="184"/>
  <c r="B32" i="184"/>
  <c r="D31" i="184"/>
  <c r="C31" i="184"/>
  <c r="B31" i="184"/>
  <c r="D30" i="184"/>
  <c r="C30" i="184"/>
  <c r="B30" i="184"/>
  <c r="D21" i="184"/>
  <c r="C21" i="184"/>
  <c r="B21" i="184"/>
  <c r="D20" i="184"/>
  <c r="C20" i="184"/>
  <c r="B20" i="184"/>
  <c r="D18" i="184"/>
  <c r="C18" i="184"/>
  <c r="B18" i="184"/>
  <c r="B8" i="184"/>
  <c r="C8" i="184"/>
  <c r="D8" i="184"/>
  <c r="B9" i="184"/>
  <c r="C9" i="184"/>
  <c r="D9" i="184"/>
  <c r="B10" i="184"/>
  <c r="C10" i="184"/>
  <c r="D10" i="184"/>
  <c r="B11" i="184"/>
  <c r="C11" i="184"/>
  <c r="D11" i="184"/>
  <c r="B12" i="184"/>
  <c r="C12" i="184"/>
  <c r="D12" i="184"/>
  <c r="B14" i="184"/>
  <c r="C14" i="184"/>
  <c r="D14" i="184"/>
  <c r="B15" i="184"/>
  <c r="C15" i="184"/>
  <c r="D15" i="184"/>
  <c r="D7" i="184"/>
  <c r="C7" i="184"/>
  <c r="B7" i="184"/>
  <c r="E108" i="183"/>
  <c r="E109" i="183"/>
  <c r="J109" i="183" s="1"/>
  <c r="E110" i="183"/>
  <c r="E111" i="183"/>
  <c r="J111" i="183" s="1"/>
  <c r="E112" i="183"/>
  <c r="J112" i="183" s="1"/>
  <c r="E113" i="183"/>
  <c r="J113" i="183" s="1"/>
  <c r="E114" i="183"/>
  <c r="E87" i="183"/>
  <c r="E89" i="183"/>
  <c r="J89" i="183" s="1"/>
  <c r="E90" i="183"/>
  <c r="J90" i="183" s="1"/>
  <c r="E93" i="183"/>
  <c r="E94" i="183"/>
  <c r="E95" i="183"/>
  <c r="E96" i="183"/>
  <c r="J96" i="183" s="1"/>
  <c r="E97" i="183"/>
  <c r="J97" i="183" s="1"/>
  <c r="E101" i="183"/>
  <c r="J101" i="183" s="1"/>
  <c r="E100" i="183"/>
  <c r="E51" i="183"/>
  <c r="J51" i="183" s="1"/>
  <c r="E50" i="183"/>
  <c r="J50" i="183" s="1"/>
  <c r="E54" i="183"/>
  <c r="J54" i="183" s="1"/>
  <c r="E55" i="183"/>
  <c r="J55" i="183" s="1"/>
  <c r="E56" i="183"/>
  <c r="E57" i="183"/>
  <c r="J57" i="183" s="1"/>
  <c r="E58" i="183"/>
  <c r="E59" i="183"/>
  <c r="E63" i="183"/>
  <c r="J63" i="183" s="1"/>
  <c r="E62" i="183"/>
  <c r="E69" i="183"/>
  <c r="E70" i="183"/>
  <c r="E71" i="183"/>
  <c r="E76" i="183"/>
  <c r="E79" i="183" s="1"/>
  <c r="E77" i="183"/>
  <c r="E78" i="183"/>
  <c r="E42" i="183"/>
  <c r="E40" i="183"/>
  <c r="J40" i="183" s="1"/>
  <c r="E30" i="183"/>
  <c r="J30" i="183" s="1"/>
  <c r="E31" i="183"/>
  <c r="J31" i="183" s="1"/>
  <c r="E32" i="183"/>
  <c r="J32" i="183" s="1"/>
  <c r="E36" i="183"/>
  <c r="E37" i="183"/>
  <c r="J37" i="183" s="1"/>
  <c r="H91" i="183"/>
  <c r="H98" i="183"/>
  <c r="H102" i="183"/>
  <c r="H52" i="183"/>
  <c r="H60" i="183"/>
  <c r="H74" i="183"/>
  <c r="H79" i="183"/>
  <c r="H38" i="183"/>
  <c r="H43" i="183" s="1"/>
  <c r="H22" i="183"/>
  <c r="H16" i="183"/>
  <c r="G91" i="183"/>
  <c r="G98" i="183"/>
  <c r="G102" i="183"/>
  <c r="G52" i="183"/>
  <c r="G60" i="183"/>
  <c r="G74" i="183"/>
  <c r="G79" i="183"/>
  <c r="G38" i="183"/>
  <c r="G43" i="183" s="1"/>
  <c r="G22" i="183"/>
  <c r="G23" i="183" s="1"/>
  <c r="G16" i="183"/>
  <c r="F91" i="183"/>
  <c r="F98" i="183"/>
  <c r="F102" i="183"/>
  <c r="F52" i="183"/>
  <c r="F60" i="183"/>
  <c r="F74" i="183"/>
  <c r="F79" i="183"/>
  <c r="F80" i="183" s="1"/>
  <c r="F38" i="183"/>
  <c r="F43" i="183" s="1"/>
  <c r="F22" i="183"/>
  <c r="F16" i="183"/>
  <c r="J95" i="183"/>
  <c r="J21" i="183"/>
  <c r="J18" i="183"/>
  <c r="J14" i="183"/>
  <c r="J9" i="183"/>
  <c r="C112" i="196"/>
  <c r="C125" i="196" s="1"/>
  <c r="C101" i="196"/>
  <c r="C93" i="196"/>
  <c r="F65" i="196"/>
  <c r="C55" i="196"/>
  <c r="C50" i="196"/>
  <c r="C32" i="196"/>
  <c r="C26" i="196"/>
  <c r="C20" i="196"/>
  <c r="C10" i="196"/>
  <c r="F130" i="196"/>
  <c r="F129" i="196"/>
  <c r="F128" i="196"/>
  <c r="F124" i="196"/>
  <c r="F123" i="196"/>
  <c r="F122" i="196"/>
  <c r="F121" i="196"/>
  <c r="F120" i="196"/>
  <c r="F119" i="196"/>
  <c r="F118" i="196"/>
  <c r="F117" i="196"/>
  <c r="F116" i="196"/>
  <c r="F115" i="196"/>
  <c r="F111" i="196"/>
  <c r="F110" i="196"/>
  <c r="F109" i="196"/>
  <c r="F108" i="196"/>
  <c r="F107" i="196"/>
  <c r="F106" i="196"/>
  <c r="F100" i="196"/>
  <c r="F99" i="196"/>
  <c r="F98" i="196"/>
  <c r="F97" i="196"/>
  <c r="F96" i="196"/>
  <c r="F95" i="196"/>
  <c r="F92" i="196"/>
  <c r="F91" i="196"/>
  <c r="F90" i="196"/>
  <c r="F89" i="196"/>
  <c r="F88" i="196"/>
  <c r="F87" i="196"/>
  <c r="F86" i="196"/>
  <c r="F83" i="196"/>
  <c r="F78" i="196"/>
  <c r="F77" i="196"/>
  <c r="F76" i="196"/>
  <c r="F75" i="196"/>
  <c r="F71" i="196"/>
  <c r="F70" i="196"/>
  <c r="F62" i="196"/>
  <c r="F57" i="196"/>
  <c r="F55" i="196"/>
  <c r="F54" i="196"/>
  <c r="F53" i="196"/>
  <c r="F52" i="196"/>
  <c r="F49" i="196"/>
  <c r="F45" i="196"/>
  <c r="F43" i="196"/>
  <c r="F38" i="196"/>
  <c r="F37" i="196"/>
  <c r="F31" i="196"/>
  <c r="F30" i="196"/>
  <c r="F29" i="196"/>
  <c r="F28" i="196"/>
  <c r="F25" i="196"/>
  <c r="F23" i="196"/>
  <c r="F22" i="196"/>
  <c r="F19" i="196"/>
  <c r="F18" i="196"/>
  <c r="F17" i="196"/>
  <c r="F15" i="196"/>
  <c r="F14" i="196"/>
  <c r="F13" i="196"/>
  <c r="F9" i="196"/>
  <c r="F8" i="196"/>
  <c r="F7" i="196"/>
  <c r="F5" i="196"/>
  <c r="D5" i="196"/>
  <c r="D7" i="196"/>
  <c r="D8" i="196"/>
  <c r="D9" i="196"/>
  <c r="B10" i="196"/>
  <c r="D10" i="196" s="1"/>
  <c r="D12" i="196"/>
  <c r="D13" i="196"/>
  <c r="D14" i="196"/>
  <c r="D15" i="196"/>
  <c r="D17" i="196"/>
  <c r="D18" i="196"/>
  <c r="D19" i="196"/>
  <c r="B20" i="196"/>
  <c r="D20" i="196" s="1"/>
  <c r="D22" i="196"/>
  <c r="D23" i="196"/>
  <c r="D25" i="196"/>
  <c r="D28" i="196"/>
  <c r="D29" i="196"/>
  <c r="D30" i="196"/>
  <c r="D31" i="196"/>
  <c r="B32" i="196"/>
  <c r="D37" i="196"/>
  <c r="D38" i="196"/>
  <c r="D43" i="196"/>
  <c r="D45" i="196"/>
  <c r="D48" i="196"/>
  <c r="D49" i="196"/>
  <c r="B50" i="196"/>
  <c r="D52" i="196"/>
  <c r="D53" i="196"/>
  <c r="D54" i="196"/>
  <c r="B55" i="196"/>
  <c r="D55" i="196" s="1"/>
  <c r="D62" i="196"/>
  <c r="D70" i="196"/>
  <c r="D71" i="196"/>
  <c r="D75" i="196"/>
  <c r="D76" i="196"/>
  <c r="D77" i="196"/>
  <c r="D78" i="196"/>
  <c r="D83" i="196"/>
  <c r="B84" i="196"/>
  <c r="D84" i="196" s="1"/>
  <c r="D86" i="196"/>
  <c r="D87" i="196"/>
  <c r="D88" i="196"/>
  <c r="D89" i="196"/>
  <c r="D90" i="196"/>
  <c r="D91" i="196"/>
  <c r="D92" i="196"/>
  <c r="B93" i="196"/>
  <c r="D95" i="196"/>
  <c r="D96" i="196"/>
  <c r="D97" i="196"/>
  <c r="D98" i="196"/>
  <c r="D99" i="196"/>
  <c r="D100" i="196"/>
  <c r="B101" i="196"/>
  <c r="D106" i="196"/>
  <c r="D107" i="196"/>
  <c r="D108" i="196"/>
  <c r="D109" i="196"/>
  <c r="D110" i="196"/>
  <c r="D111" i="196"/>
  <c r="B112" i="196"/>
  <c r="D115" i="196"/>
  <c r="D116" i="196"/>
  <c r="D117" i="196"/>
  <c r="D118" i="196"/>
  <c r="D119" i="196"/>
  <c r="D120" i="196"/>
  <c r="D121" i="196"/>
  <c r="D122" i="196"/>
  <c r="D123" i="196"/>
  <c r="D124" i="196"/>
  <c r="D128" i="196"/>
  <c r="D129" i="196"/>
  <c r="D130" i="196"/>
  <c r="G28" i="29"/>
  <c r="E28" i="29"/>
  <c r="G51" i="29"/>
  <c r="G49" i="29"/>
  <c r="G48" i="29"/>
  <c r="G47" i="29"/>
  <c r="G44" i="29"/>
  <c r="G43" i="29"/>
  <c r="G42" i="29"/>
  <c r="G41" i="29"/>
  <c r="G40" i="29"/>
  <c r="G39" i="29"/>
  <c r="G38" i="29"/>
  <c r="G37" i="29"/>
  <c r="G36" i="29"/>
  <c r="G34" i="29"/>
  <c r="G32" i="29"/>
  <c r="G31" i="29"/>
  <c r="G30" i="29"/>
  <c r="G29" i="29"/>
  <c r="G26" i="29"/>
  <c r="G24" i="29"/>
  <c r="G23" i="29"/>
  <c r="G22" i="29"/>
  <c r="G21" i="29"/>
  <c r="G20" i="29"/>
  <c r="G19" i="29"/>
  <c r="G18" i="29"/>
  <c r="G17" i="29"/>
  <c r="G16" i="29"/>
  <c r="G14" i="29"/>
  <c r="G13" i="29"/>
  <c r="G12" i="29"/>
  <c r="G11" i="29"/>
  <c r="G10" i="29"/>
  <c r="G9" i="29"/>
  <c r="G8" i="29"/>
  <c r="G7" i="29"/>
  <c r="D113" i="161"/>
  <c r="C113" i="161"/>
  <c r="B113" i="161"/>
  <c r="D112" i="161"/>
  <c r="C112" i="161"/>
  <c r="E112" i="161" s="1"/>
  <c r="B112" i="161"/>
  <c r="D111" i="161"/>
  <c r="C111" i="161"/>
  <c r="B111" i="161"/>
  <c r="D110" i="161"/>
  <c r="C110" i="161"/>
  <c r="B110" i="161"/>
  <c r="D109" i="161"/>
  <c r="C109" i="161"/>
  <c r="B109" i="161"/>
  <c r="D108" i="161"/>
  <c r="C108" i="161"/>
  <c r="B108" i="161"/>
  <c r="D106" i="161"/>
  <c r="D114" i="161" s="1"/>
  <c r="C106" i="161"/>
  <c r="B106" i="161"/>
  <c r="D100" i="161"/>
  <c r="C100" i="161"/>
  <c r="B100" i="161"/>
  <c r="E100" i="161" s="1"/>
  <c r="J100" i="161" s="1"/>
  <c r="D99" i="161"/>
  <c r="C99" i="161"/>
  <c r="B99" i="161"/>
  <c r="B101" i="161" s="1"/>
  <c r="D96" i="161"/>
  <c r="C96" i="161"/>
  <c r="B96" i="161"/>
  <c r="D95" i="161"/>
  <c r="C95" i="161"/>
  <c r="B95" i="161"/>
  <c r="D94" i="161"/>
  <c r="C94" i="161"/>
  <c r="E94" i="161" s="1"/>
  <c r="B94" i="161"/>
  <c r="D93" i="161"/>
  <c r="C93" i="161"/>
  <c r="B93" i="161"/>
  <c r="E93" i="161" s="1"/>
  <c r="J93" i="161" s="1"/>
  <c r="D90" i="161"/>
  <c r="C90" i="161"/>
  <c r="E90" i="161" s="1"/>
  <c r="B90" i="161"/>
  <c r="D89" i="161"/>
  <c r="C89" i="161"/>
  <c r="B89" i="161"/>
  <c r="B91" i="161" s="1"/>
  <c r="D87" i="161"/>
  <c r="C87" i="161"/>
  <c r="B87" i="161"/>
  <c r="D78" i="161"/>
  <c r="C78" i="161"/>
  <c r="B78" i="161"/>
  <c r="E78" i="161" s="1"/>
  <c r="D77" i="161"/>
  <c r="C77" i="161"/>
  <c r="B77" i="161"/>
  <c r="D75" i="161"/>
  <c r="C75" i="161"/>
  <c r="B75" i="161"/>
  <c r="D65" i="161"/>
  <c r="C65" i="161"/>
  <c r="B65" i="161"/>
  <c r="B61" i="161"/>
  <c r="C61" i="161"/>
  <c r="D61" i="161"/>
  <c r="D58" i="161"/>
  <c r="C58" i="161"/>
  <c r="E58" i="161" s="1"/>
  <c r="B58" i="161"/>
  <c r="D57" i="161"/>
  <c r="C57" i="161"/>
  <c r="B57" i="161"/>
  <c r="D56" i="161"/>
  <c r="C56" i="161"/>
  <c r="B56" i="161"/>
  <c r="D55" i="161"/>
  <c r="C55" i="161"/>
  <c r="B55" i="161"/>
  <c r="D54" i="161"/>
  <c r="C54" i="161"/>
  <c r="B54" i="161"/>
  <c r="D41" i="161"/>
  <c r="C41" i="161"/>
  <c r="B41" i="161"/>
  <c r="D39" i="161"/>
  <c r="C39" i="161"/>
  <c r="E39" i="161" s="1"/>
  <c r="B39" i="161"/>
  <c r="C36" i="161"/>
  <c r="B31" i="161"/>
  <c r="C30" i="161"/>
  <c r="E30" i="161" s="1"/>
  <c r="J30" i="161" s="1"/>
  <c r="B30" i="161"/>
  <c r="D29" i="161"/>
  <c r="C29" i="161"/>
  <c r="B29" i="161"/>
  <c r="E29" i="161" s="1"/>
  <c r="D20" i="161"/>
  <c r="C20" i="161"/>
  <c r="E20" i="161" s="1"/>
  <c r="B20" i="161"/>
  <c r="D19" i="161"/>
  <c r="C19" i="161"/>
  <c r="B19" i="161"/>
  <c r="D17" i="161"/>
  <c r="C17" i="161"/>
  <c r="B17" i="161"/>
  <c r="D19" i="159"/>
  <c r="D127" i="159"/>
  <c r="D126" i="159"/>
  <c r="D125" i="159"/>
  <c r="D124" i="159"/>
  <c r="D120" i="159"/>
  <c r="D119" i="159"/>
  <c r="D118" i="159"/>
  <c r="D117" i="159"/>
  <c r="D116" i="159"/>
  <c r="D115" i="159"/>
  <c r="D114" i="159"/>
  <c r="D113" i="159"/>
  <c r="D111" i="159"/>
  <c r="D107" i="159"/>
  <c r="D106" i="159"/>
  <c r="D105" i="159"/>
  <c r="D104" i="159"/>
  <c r="D103" i="159"/>
  <c r="D102" i="159"/>
  <c r="D101" i="159"/>
  <c r="D61" i="159"/>
  <c r="D53" i="159"/>
  <c r="D52" i="159"/>
  <c r="D51" i="159"/>
  <c r="D48" i="159"/>
  <c r="D47" i="159"/>
  <c r="D44" i="159"/>
  <c r="D42" i="159"/>
  <c r="D38" i="159"/>
  <c r="D33" i="159"/>
  <c r="D32" i="159"/>
  <c r="D31" i="159"/>
  <c r="D30" i="159"/>
  <c r="D29" i="159"/>
  <c r="D26" i="159"/>
  <c r="D25" i="159"/>
  <c r="D24" i="159"/>
  <c r="D21" i="159"/>
  <c r="D20" i="159"/>
  <c r="D18" i="159"/>
  <c r="D17" i="159"/>
  <c r="D16" i="159"/>
  <c r="D15" i="159"/>
  <c r="D12" i="159"/>
  <c r="D9" i="159"/>
  <c r="D6" i="159"/>
  <c r="E106" i="160"/>
  <c r="E108" i="160"/>
  <c r="J108" i="160" s="1"/>
  <c r="E109" i="160"/>
  <c r="E110" i="160"/>
  <c r="E111" i="160"/>
  <c r="E112" i="160"/>
  <c r="J112" i="160" s="1"/>
  <c r="E113" i="160"/>
  <c r="E91" i="160"/>
  <c r="J95" i="160"/>
  <c r="E97" i="160"/>
  <c r="J100" i="160"/>
  <c r="J54" i="160"/>
  <c r="J55" i="160"/>
  <c r="J58" i="160"/>
  <c r="J75" i="160"/>
  <c r="E29" i="160"/>
  <c r="E30" i="160"/>
  <c r="E31" i="160"/>
  <c r="E35" i="160"/>
  <c r="E36" i="160"/>
  <c r="J36" i="160" s="1"/>
  <c r="E17" i="160"/>
  <c r="E19" i="160"/>
  <c r="E20" i="160"/>
  <c r="E7" i="160"/>
  <c r="E8" i="160"/>
  <c r="E9" i="160"/>
  <c r="E10" i="160"/>
  <c r="E11" i="160"/>
  <c r="E12" i="160"/>
  <c r="E13" i="160"/>
  <c r="E14" i="160"/>
  <c r="H80" i="160"/>
  <c r="H21" i="160"/>
  <c r="H15" i="160"/>
  <c r="H22" i="160" s="1"/>
  <c r="G21" i="160"/>
  <c r="G15" i="160"/>
  <c r="F21" i="160"/>
  <c r="F15" i="160"/>
  <c r="J106" i="160"/>
  <c r="J96" i="160"/>
  <c r="J78" i="160"/>
  <c r="J70" i="160"/>
  <c r="J50" i="160"/>
  <c r="J49" i="160"/>
  <c r="J35" i="160"/>
  <c r="J30" i="160"/>
  <c r="J19" i="160"/>
  <c r="M46" i="185"/>
  <c r="L46" i="185"/>
  <c r="L74" i="185" s="1"/>
  <c r="K46" i="185"/>
  <c r="F39" i="187"/>
  <c r="E39" i="187"/>
  <c r="D39" i="187"/>
  <c r="E25" i="187"/>
  <c r="D25" i="187"/>
  <c r="F89" i="187"/>
  <c r="F77" i="187"/>
  <c r="F71" i="187"/>
  <c r="F63" i="187"/>
  <c r="F51" i="187"/>
  <c r="F47" i="187"/>
  <c r="F43" i="187"/>
  <c r="F21" i="187"/>
  <c r="F17" i="187"/>
  <c r="E102" i="187"/>
  <c r="E89" i="187"/>
  <c r="E77" i="187"/>
  <c r="E71" i="187"/>
  <c r="E63" i="187"/>
  <c r="E51" i="187"/>
  <c r="E47" i="187"/>
  <c r="E43" i="187"/>
  <c r="E32" i="187"/>
  <c r="E21" i="187"/>
  <c r="E17" i="187"/>
  <c r="E9" i="187"/>
  <c r="D102" i="187"/>
  <c r="D89" i="187"/>
  <c r="D77" i="187"/>
  <c r="D71" i="187"/>
  <c r="D63" i="187"/>
  <c r="D51" i="187"/>
  <c r="D47" i="187"/>
  <c r="D43" i="187"/>
  <c r="D32" i="187"/>
  <c r="D21" i="187"/>
  <c r="D17" i="187"/>
  <c r="D9" i="187"/>
  <c r="E28" i="187"/>
  <c r="D28" i="187"/>
  <c r="M83" i="185"/>
  <c r="M87" i="185"/>
  <c r="M94" i="185"/>
  <c r="M98" i="185"/>
  <c r="L83" i="185"/>
  <c r="L94" i="185"/>
  <c r="L87" i="185"/>
  <c r="L99" i="185" s="1"/>
  <c r="L98" i="185"/>
  <c r="K83" i="185"/>
  <c r="K94" i="185"/>
  <c r="K87" i="185"/>
  <c r="K98" i="185"/>
  <c r="K15" i="185"/>
  <c r="K21" i="185" s="1"/>
  <c r="L15" i="185"/>
  <c r="L21" i="185" s="1"/>
  <c r="M15" i="185"/>
  <c r="M21" i="185" s="1"/>
  <c r="K33" i="185"/>
  <c r="K38" i="185" s="1"/>
  <c r="L33" i="185"/>
  <c r="L38" i="185" s="1"/>
  <c r="M33" i="185"/>
  <c r="M38" i="185" s="1"/>
  <c r="K73" i="185"/>
  <c r="K74" i="185" s="1"/>
  <c r="L73" i="185"/>
  <c r="M73" i="185"/>
  <c r="D14" i="122"/>
  <c r="D13" i="122"/>
  <c r="D12" i="122"/>
  <c r="D11" i="122"/>
  <c r="D10" i="122"/>
  <c r="D9" i="122"/>
  <c r="D8" i="122"/>
  <c r="D7" i="122"/>
  <c r="D6" i="122"/>
  <c r="D5" i="122"/>
  <c r="B15" i="122"/>
  <c r="E34" i="21"/>
  <c r="B16" i="183"/>
  <c r="C16" i="183"/>
  <c r="C23" i="183" s="1"/>
  <c r="D16" i="183"/>
  <c r="B22" i="183"/>
  <c r="B23" i="183" s="1"/>
  <c r="C22" i="183"/>
  <c r="D22" i="183"/>
  <c r="D23" i="183" s="1"/>
  <c r="B38" i="183"/>
  <c r="B43" i="183" s="1"/>
  <c r="C38" i="183"/>
  <c r="C43" i="183" s="1"/>
  <c r="D38" i="183"/>
  <c r="D43" i="183" s="1"/>
  <c r="B52" i="183"/>
  <c r="C52" i="183"/>
  <c r="D52" i="183"/>
  <c r="B60" i="183"/>
  <c r="C60" i="183"/>
  <c r="D60" i="183"/>
  <c r="B67" i="183"/>
  <c r="C67" i="183"/>
  <c r="D67" i="183"/>
  <c r="B74" i="183"/>
  <c r="C74" i="183"/>
  <c r="D74" i="183"/>
  <c r="B79" i="183"/>
  <c r="C79" i="183"/>
  <c r="D79" i="183"/>
  <c r="B91" i="183"/>
  <c r="C91" i="183"/>
  <c r="D91" i="183"/>
  <c r="B98" i="183"/>
  <c r="B103" i="183" s="1"/>
  <c r="C98" i="183"/>
  <c r="D98" i="183"/>
  <c r="B102" i="183"/>
  <c r="C102" i="183"/>
  <c r="D102" i="183"/>
  <c r="B115" i="183"/>
  <c r="C115" i="183"/>
  <c r="D115" i="183"/>
  <c r="N33" i="37"/>
  <c r="P33" i="37"/>
  <c r="C3" i="181"/>
  <c r="E3" i="181" s="1"/>
  <c r="G3" i="181" s="1"/>
  <c r="I3" i="181" s="1"/>
  <c r="K3" i="181" s="1"/>
  <c r="D6" i="181"/>
  <c r="F6" i="181"/>
  <c r="J6" i="181"/>
  <c r="D8" i="181"/>
  <c r="F8" i="181"/>
  <c r="J8" i="181"/>
  <c r="D10" i="181"/>
  <c r="F10" i="181"/>
  <c r="J10" i="181"/>
  <c r="D12" i="181"/>
  <c r="F12" i="181"/>
  <c r="J12" i="181"/>
  <c r="D14" i="181"/>
  <c r="F14" i="181"/>
  <c r="J14" i="181"/>
  <c r="D16" i="181"/>
  <c r="F16" i="181"/>
  <c r="J16" i="181"/>
  <c r="D18" i="181"/>
  <c r="I18" i="181"/>
  <c r="D20" i="181"/>
  <c r="F20" i="181"/>
  <c r="J20" i="181"/>
  <c r="D22" i="181"/>
  <c r="F22" i="181"/>
  <c r="J22" i="181"/>
  <c r="D24" i="181"/>
  <c r="F24" i="181"/>
  <c r="I24" i="181"/>
  <c r="F59" i="49"/>
  <c r="E52" i="48"/>
  <c r="E56" i="48" s="1"/>
  <c r="D52" i="48"/>
  <c r="D56" i="48" s="1"/>
  <c r="C52" i="48"/>
  <c r="C56" i="48" s="1"/>
  <c r="B52" i="48"/>
  <c r="B56" i="48" s="1"/>
  <c r="E59" i="49"/>
  <c r="D59" i="49"/>
  <c r="C59" i="49"/>
  <c r="B59" i="49"/>
  <c r="E46" i="50"/>
  <c r="D42" i="50"/>
  <c r="D46" i="50" s="1"/>
  <c r="C42" i="50"/>
  <c r="C46" i="50" s="1"/>
  <c r="B42" i="50"/>
  <c r="B46" i="50" s="1"/>
  <c r="J12" i="27"/>
  <c r="B15" i="161"/>
  <c r="C15" i="161"/>
  <c r="D15" i="161"/>
  <c r="F21" i="161"/>
  <c r="G37" i="161"/>
  <c r="G42" i="161" s="1"/>
  <c r="H37" i="161"/>
  <c r="C79" i="161"/>
  <c r="H79" i="161"/>
  <c r="E89" i="161"/>
  <c r="D91" i="161"/>
  <c r="D102" i="161" s="1"/>
  <c r="H91" i="161"/>
  <c r="E96" i="161"/>
  <c r="C101" i="161"/>
  <c r="F101" i="161"/>
  <c r="G101" i="161"/>
  <c r="E106" i="161"/>
  <c r="E110" i="161"/>
  <c r="J110" i="161" s="1"/>
  <c r="B114" i="161"/>
  <c r="B21" i="160"/>
  <c r="C21" i="160"/>
  <c r="D21" i="160"/>
  <c r="B37" i="160"/>
  <c r="B42" i="160" s="1"/>
  <c r="C37" i="160"/>
  <c r="C42" i="160" s="1"/>
  <c r="D37" i="160"/>
  <c r="D42" i="160" s="1"/>
  <c r="B59" i="160"/>
  <c r="C59" i="160"/>
  <c r="D59" i="160"/>
  <c r="B79" i="160"/>
  <c r="C79" i="160"/>
  <c r="D79" i="160"/>
  <c r="F33" i="37"/>
  <c r="L33" i="37"/>
  <c r="C15" i="122"/>
  <c r="F52" i="48"/>
  <c r="F56" i="48" s="1"/>
  <c r="B43" i="39"/>
  <c r="B47" i="39" s="1"/>
  <c r="D44" i="39"/>
  <c r="D45" i="39"/>
  <c r="C47" i="39"/>
  <c r="M7" i="33"/>
  <c r="N7" i="33"/>
  <c r="O7" i="33"/>
  <c r="P7" i="33"/>
  <c r="M9" i="33"/>
  <c r="N9" i="33"/>
  <c r="O9" i="33"/>
  <c r="P9" i="33"/>
  <c r="M11" i="33"/>
  <c r="N11" i="33"/>
  <c r="O11" i="33"/>
  <c r="P11" i="33"/>
  <c r="M13" i="33"/>
  <c r="N13" i="33"/>
  <c r="O13" i="33"/>
  <c r="P13" i="33"/>
  <c r="D15" i="33"/>
  <c r="G15" i="33"/>
  <c r="H15" i="33"/>
  <c r="P15" i="33" s="1"/>
  <c r="I15" i="33"/>
  <c r="M15" i="33"/>
  <c r="N15" i="33"/>
  <c r="O15" i="33"/>
  <c r="E6" i="29"/>
  <c r="E7" i="29"/>
  <c r="E8" i="29"/>
  <c r="E9" i="29"/>
  <c r="E10" i="29"/>
  <c r="E11" i="29"/>
  <c r="E12" i="29"/>
  <c r="E13" i="29"/>
  <c r="E14" i="29"/>
  <c r="E16" i="29"/>
  <c r="E17" i="29"/>
  <c r="E18" i="29"/>
  <c r="E19" i="29"/>
  <c r="E20" i="29"/>
  <c r="E21" i="29"/>
  <c r="E22" i="29"/>
  <c r="E23" i="29"/>
  <c r="E24" i="29"/>
  <c r="E26" i="29"/>
  <c r="E29" i="29"/>
  <c r="E30" i="29"/>
  <c r="E31" i="29"/>
  <c r="E32" i="29"/>
  <c r="E34" i="29"/>
  <c r="E36" i="29"/>
  <c r="E37" i="29"/>
  <c r="E38" i="29"/>
  <c r="E39" i="29"/>
  <c r="E40" i="29"/>
  <c r="E41" i="29"/>
  <c r="E42" i="29"/>
  <c r="E43" i="29"/>
  <c r="E44" i="29"/>
  <c r="E47" i="29"/>
  <c r="E48" i="29"/>
  <c r="E51" i="29"/>
  <c r="J6" i="27"/>
  <c r="J8" i="27"/>
  <c r="J10" i="27"/>
  <c r="J14" i="27"/>
  <c r="J16" i="27"/>
  <c r="F18" i="27"/>
  <c r="I18" i="27"/>
  <c r="L18" i="27" s="1"/>
  <c r="J18" i="27"/>
  <c r="J20" i="27"/>
  <c r="J22" i="27"/>
  <c r="F24" i="27"/>
  <c r="H24" i="27"/>
  <c r="I24" i="27"/>
  <c r="L24" i="27" s="1"/>
  <c r="J24" i="27"/>
  <c r="E14" i="21"/>
  <c r="H14" i="21"/>
  <c r="H34" i="21"/>
  <c r="F15" i="161"/>
  <c r="B15" i="160"/>
  <c r="C15" i="160"/>
  <c r="D15" i="160"/>
  <c r="E7" i="288"/>
  <c r="E22" i="288"/>
  <c r="E17" i="288"/>
  <c r="E12" i="288"/>
  <c r="E21" i="160"/>
  <c r="J39" i="160"/>
  <c r="J61" i="160"/>
  <c r="J90" i="160"/>
  <c r="H33" i="159"/>
  <c r="Q45" i="261"/>
  <c r="S9" i="261"/>
  <c r="Q9" i="261"/>
  <c r="J44" i="261"/>
  <c r="H128" i="159"/>
  <c r="E122" i="159"/>
  <c r="H107" i="159"/>
  <c r="F12" i="196"/>
  <c r="J100" i="183"/>
  <c r="H24" i="234"/>
  <c r="D24" i="234"/>
  <c r="T45" i="185"/>
  <c r="T72" i="185"/>
  <c r="T86" i="185"/>
  <c r="J51" i="161"/>
  <c r="H45" i="159"/>
  <c r="O45" i="261"/>
  <c r="O9" i="261"/>
  <c r="K9" i="261"/>
  <c r="K80" i="183"/>
  <c r="F121" i="273"/>
  <c r="G115" i="273"/>
  <c r="C115" i="273"/>
  <c r="D115" i="273" s="1"/>
  <c r="F82" i="273"/>
  <c r="G73" i="273"/>
  <c r="J73" i="273" s="1"/>
  <c r="F50" i="273"/>
  <c r="F41" i="273"/>
  <c r="F23" i="273"/>
  <c r="G17" i="273"/>
  <c r="J17" i="273" s="1"/>
  <c r="F8" i="273"/>
  <c r="I90" i="273"/>
  <c r="L114" i="273"/>
  <c r="Y29" i="185"/>
  <c r="Y81" i="185"/>
  <c r="Y103" i="185"/>
  <c r="S97" i="185"/>
  <c r="Y97" i="185" s="1"/>
  <c r="H137" i="274"/>
  <c r="Q136" i="274"/>
  <c r="M136" i="274"/>
  <c r="H131" i="274"/>
  <c r="B131" i="274"/>
  <c r="Q119" i="274"/>
  <c r="M119" i="274"/>
  <c r="H104" i="274"/>
  <c r="M104" i="274" s="1"/>
  <c r="Q99" i="274"/>
  <c r="M99" i="274"/>
  <c r="Q97" i="274"/>
  <c r="Q87" i="274"/>
  <c r="M87" i="274"/>
  <c r="Q73" i="274"/>
  <c r="B66" i="274"/>
  <c r="Q65" i="274"/>
  <c r="M65" i="274"/>
  <c r="H57" i="274"/>
  <c r="M57" i="274" s="1"/>
  <c r="Q56" i="274"/>
  <c r="M56" i="274"/>
  <c r="Q52" i="274"/>
  <c r="Q40" i="274"/>
  <c r="M40" i="274"/>
  <c r="H35" i="274"/>
  <c r="B35" i="274"/>
  <c r="Q34" i="274"/>
  <c r="M34" i="274"/>
  <c r="M13" i="274"/>
  <c r="Q6" i="274"/>
  <c r="M6" i="274"/>
  <c r="G63" i="159"/>
  <c r="N57" i="274"/>
  <c r="Q57" i="274" s="1"/>
  <c r="N137" i="274"/>
  <c r="U137" i="274" s="1"/>
  <c r="R13" i="274"/>
  <c r="R35" i="274" s="1"/>
  <c r="U73" i="274"/>
  <c r="N20" i="285"/>
  <c r="J20" i="285"/>
  <c r="F20" i="285"/>
  <c r="N13" i="285"/>
  <c r="J13" i="285"/>
  <c r="F13" i="285"/>
  <c r="N11" i="285"/>
  <c r="F11" i="285"/>
  <c r="N6" i="285"/>
  <c r="J6" i="285"/>
  <c r="F6" i="285"/>
  <c r="C16" i="284"/>
  <c r="U104" i="274"/>
  <c r="P20" i="285"/>
  <c r="L20" i="285"/>
  <c r="H20" i="285"/>
  <c r="P13" i="285"/>
  <c r="L13" i="285"/>
  <c r="H13" i="285"/>
  <c r="L11" i="285"/>
  <c r="P6" i="285"/>
  <c r="L6" i="285"/>
  <c r="H6" i="285"/>
  <c r="J22" i="279"/>
  <c r="N10" i="279"/>
  <c r="C44" i="278"/>
  <c r="C16" i="278"/>
  <c r="C6" i="278"/>
  <c r="I57" i="274"/>
  <c r="K57" i="274"/>
  <c r="I137" i="274"/>
  <c r="F27" i="37"/>
  <c r="L27" i="37"/>
  <c r="N27" i="37"/>
  <c r="P27" i="37"/>
  <c r="F29" i="37"/>
  <c r="E49" i="29"/>
  <c r="F20" i="196"/>
  <c r="F84" i="196"/>
  <c r="O106" i="160"/>
  <c r="F52" i="161"/>
  <c r="D89" i="159"/>
  <c r="E96" i="159"/>
  <c r="E49" i="159"/>
  <c r="F49" i="159" s="1"/>
  <c r="E40" i="159"/>
  <c r="H40" i="159" s="1"/>
  <c r="U75" i="274"/>
  <c r="R66" i="274"/>
  <c r="U115" i="274"/>
  <c r="C20" i="284"/>
  <c r="C36" i="278"/>
  <c r="J130" i="196"/>
  <c r="F101" i="273"/>
  <c r="F89" i="273"/>
  <c r="F35" i="273"/>
  <c r="E29" i="273"/>
  <c r="C29" i="273"/>
  <c r="F28" i="273"/>
  <c r="T56" i="185"/>
  <c r="Y45" i="185"/>
  <c r="O136" i="274"/>
  <c r="O119" i="274"/>
  <c r="I115" i="274"/>
  <c r="O99" i="274"/>
  <c r="O87" i="274"/>
  <c r="O73" i="274"/>
  <c r="O65" i="274"/>
  <c r="O40" i="274"/>
  <c r="O34" i="274"/>
  <c r="O28" i="274"/>
  <c r="I28" i="274"/>
  <c r="I22" i="274"/>
  <c r="K6" i="274"/>
  <c r="F40" i="159"/>
  <c r="H62" i="159"/>
  <c r="Y106" i="185"/>
  <c r="W74" i="185"/>
  <c r="V74" i="185"/>
  <c r="S87" i="185"/>
  <c r="R74" i="185"/>
  <c r="N98" i="185"/>
  <c r="T96" i="185"/>
  <c r="M115" i="273"/>
  <c r="P115" i="273" s="1"/>
  <c r="M55" i="273"/>
  <c r="P55" i="273" s="1"/>
  <c r="N114" i="273"/>
  <c r="L41" i="273"/>
  <c r="H41" i="273"/>
  <c r="T53" i="185"/>
  <c r="X20" i="185"/>
  <c r="AD20" i="185" s="1"/>
  <c r="X98" i="185"/>
  <c r="AD98" i="185" s="1"/>
  <c r="W99" i="185"/>
  <c r="U74" i="185"/>
  <c r="X107" i="185"/>
  <c r="AD107" i="185" s="1"/>
  <c r="X94" i="185"/>
  <c r="AD94" i="185" s="1"/>
  <c r="X33" i="185"/>
  <c r="D49" i="159"/>
  <c r="F45" i="159"/>
  <c r="B122" i="159"/>
  <c r="F91" i="159"/>
  <c r="D22" i="159"/>
  <c r="G97" i="159"/>
  <c r="C63" i="159"/>
  <c r="F81" i="159"/>
  <c r="D81" i="159"/>
  <c r="B34" i="159"/>
  <c r="E22" i="159"/>
  <c r="F22" i="159" s="1"/>
  <c r="J22" i="159"/>
  <c r="J27" i="159"/>
  <c r="J40" i="159"/>
  <c r="J49" i="159"/>
  <c r="J107" i="159"/>
  <c r="J13" i="159"/>
  <c r="J45" i="159"/>
  <c r="J89" i="159"/>
  <c r="I122" i="159"/>
  <c r="L122" i="159" s="1"/>
  <c r="J128" i="159"/>
  <c r="J83" i="159"/>
  <c r="J96" i="159"/>
  <c r="J39" i="159"/>
  <c r="J47" i="159"/>
  <c r="J62" i="159"/>
  <c r="J21" i="159"/>
  <c r="J33" i="159"/>
  <c r="E50" i="161"/>
  <c r="V105" i="274"/>
  <c r="V66" i="274"/>
  <c r="V35" i="274"/>
  <c r="W130" i="274"/>
  <c r="W137" i="274"/>
  <c r="W104" i="274"/>
  <c r="W65" i="274"/>
  <c r="W34" i="274"/>
  <c r="V131" i="274"/>
  <c r="W115" i="274"/>
  <c r="W88" i="274"/>
  <c r="E11" i="161"/>
  <c r="E10" i="161"/>
  <c r="E54" i="161"/>
  <c r="B52" i="161"/>
  <c r="E68" i="161"/>
  <c r="I68" i="161"/>
  <c r="N68" i="161"/>
  <c r="O68" i="161" s="1"/>
  <c r="N71" i="161"/>
  <c r="N101" i="160"/>
  <c r="N34" i="161"/>
  <c r="O34" i="161" s="1"/>
  <c r="N70" i="161"/>
  <c r="N69" i="161"/>
  <c r="N91" i="160"/>
  <c r="L22" i="160"/>
  <c r="N97" i="160"/>
  <c r="O68" i="160"/>
  <c r="N59" i="160"/>
  <c r="I30" i="161"/>
  <c r="I56" i="161"/>
  <c r="I50" i="161"/>
  <c r="C59" i="161"/>
  <c r="I99" i="161"/>
  <c r="I87" i="161"/>
  <c r="I113" i="161"/>
  <c r="I110" i="161"/>
  <c r="I31" i="161"/>
  <c r="O31" i="161" s="1"/>
  <c r="I75" i="161"/>
  <c r="I58" i="161"/>
  <c r="I94" i="161"/>
  <c r="I109" i="161"/>
  <c r="E14" i="161"/>
  <c r="E8" i="161"/>
  <c r="D52" i="161"/>
  <c r="I20" i="161"/>
  <c r="I36" i="161"/>
  <c r="I7" i="161"/>
  <c r="E12" i="161"/>
  <c r="I9" i="161"/>
  <c r="K80" i="160"/>
  <c r="L102" i="160"/>
  <c r="K102" i="160"/>
  <c r="I49" i="161"/>
  <c r="O30" i="161"/>
  <c r="E101" i="160"/>
  <c r="E59" i="160"/>
  <c r="C7" i="268"/>
  <c r="E7" i="307"/>
  <c r="Q21" i="308"/>
  <c r="U21" i="308"/>
  <c r="I22" i="308"/>
  <c r="K22" i="308"/>
  <c r="G28" i="308"/>
  <c r="I28" i="308"/>
  <c r="K28" i="308"/>
  <c r="M28" i="308"/>
  <c r="I35" i="308"/>
  <c r="I42" i="308"/>
  <c r="K42" i="308"/>
  <c r="I46" i="308"/>
  <c r="K46" i="308"/>
  <c r="I51" i="308"/>
  <c r="K51" i="308"/>
  <c r="G55" i="308"/>
  <c r="I55" i="308"/>
  <c r="K55" i="308"/>
  <c r="M55" i="308"/>
  <c r="I70" i="308"/>
  <c r="K70" i="308"/>
  <c r="I78" i="308"/>
  <c r="K78" i="308"/>
  <c r="G84" i="308"/>
  <c r="I84" i="308"/>
  <c r="K84" i="308"/>
  <c r="M84" i="308"/>
  <c r="I96" i="308"/>
  <c r="K96" i="308"/>
  <c r="K109" i="308"/>
  <c r="O21" i="308"/>
  <c r="S21" i="308"/>
  <c r="E7" i="161"/>
  <c r="E13" i="161"/>
  <c r="E70" i="161"/>
  <c r="I14" i="161"/>
  <c r="J14" i="161" s="1"/>
  <c r="E18" i="161"/>
  <c r="E71" i="161"/>
  <c r="E9" i="161"/>
  <c r="B73" i="161"/>
  <c r="I69" i="161"/>
  <c r="K73" i="161"/>
  <c r="E49" i="161"/>
  <c r="E69" i="161"/>
  <c r="J69" i="161" s="1"/>
  <c r="D73" i="161"/>
  <c r="L73" i="161"/>
  <c r="M73" i="161"/>
  <c r="E72" i="161"/>
  <c r="F73" i="161"/>
  <c r="E27" i="307"/>
  <c r="E26" i="268"/>
  <c r="E12" i="307"/>
  <c r="C12" i="268"/>
  <c r="I102" i="196"/>
  <c r="L102" i="196" s="1"/>
  <c r="F48" i="196"/>
  <c r="H48" i="196"/>
  <c r="I26" i="181"/>
  <c r="L26" i="181" s="1"/>
  <c r="W70" i="308"/>
  <c r="U70" i="308"/>
  <c r="S70" i="308"/>
  <c r="Q70" i="308"/>
  <c r="M70" i="308"/>
  <c r="O70" i="308"/>
  <c r="E85" i="308"/>
  <c r="G70" i="308"/>
  <c r="K35" i="308"/>
  <c r="O109" i="308"/>
  <c r="M109" i="308"/>
  <c r="I109" i="308"/>
  <c r="G109" i="308"/>
  <c r="W9" i="308"/>
  <c r="K9" i="308"/>
  <c r="M9" i="308"/>
  <c r="O9" i="308"/>
  <c r="Q9" i="308"/>
  <c r="S9" i="308"/>
  <c r="G9" i="308"/>
  <c r="V110" i="308"/>
  <c r="V85" i="308"/>
  <c r="V56" i="308"/>
  <c r="V29" i="308"/>
  <c r="W84" i="308"/>
  <c r="W55" i="308"/>
  <c r="E54" i="184"/>
  <c r="N91" i="183"/>
  <c r="J20" i="183"/>
  <c r="J87" i="183"/>
  <c r="O76" i="183"/>
  <c r="O62" i="183"/>
  <c r="O55" i="183"/>
  <c r="J35" i="183"/>
  <c r="E98" i="183"/>
  <c r="I91" i="183"/>
  <c r="J71" i="183"/>
  <c r="E74" i="183"/>
  <c r="E67" i="183"/>
  <c r="J36" i="183"/>
  <c r="I22" i="183"/>
  <c r="N74" i="183"/>
  <c r="N52" i="183"/>
  <c r="O50" i="183"/>
  <c r="M23" i="183"/>
  <c r="N22" i="183"/>
  <c r="L103" i="183"/>
  <c r="I102" i="183"/>
  <c r="H103" i="183"/>
  <c r="I60" i="183"/>
  <c r="O57" i="183"/>
  <c r="I43" i="183"/>
  <c r="O30" i="183"/>
  <c r="O90" i="183"/>
  <c r="E16" i="183"/>
  <c r="J108" i="183"/>
  <c r="H10" i="279"/>
  <c r="D96" i="159"/>
  <c r="C97" i="159"/>
  <c r="F62" i="159"/>
  <c r="D40" i="159"/>
  <c r="G122" i="159"/>
  <c r="J122" i="159" s="1"/>
  <c r="D39" i="159"/>
  <c r="G34" i="159"/>
  <c r="B97" i="159"/>
  <c r="D45" i="159"/>
  <c r="C34" i="159"/>
  <c r="D34" i="159" s="1"/>
  <c r="C26" i="27"/>
  <c r="D18" i="27"/>
  <c r="E26" i="27"/>
  <c r="H18" i="27"/>
  <c r="U99" i="185"/>
  <c r="V99" i="185"/>
  <c r="Y86" i="185"/>
  <c r="Y32" i="185"/>
  <c r="Y17" i="185"/>
  <c r="O108" i="183"/>
  <c r="J114" i="183"/>
  <c r="J94" i="183"/>
  <c r="J77" i="183"/>
  <c r="J69" i="183"/>
  <c r="H80" i="183"/>
  <c r="J56" i="183"/>
  <c r="O15" i="183"/>
  <c r="O10" i="183"/>
  <c r="I16" i="183"/>
  <c r="I23" i="183" s="1"/>
  <c r="J15" i="183"/>
  <c r="Q13" i="239"/>
  <c r="J111" i="160"/>
  <c r="E114" i="160"/>
  <c r="B97" i="161"/>
  <c r="J89" i="160"/>
  <c r="L80" i="160"/>
  <c r="J68" i="160"/>
  <c r="N52" i="160"/>
  <c r="O18" i="160"/>
  <c r="K21" i="161"/>
  <c r="K22" i="161" s="1"/>
  <c r="L21" i="161"/>
  <c r="K22" i="160"/>
  <c r="N15" i="160"/>
  <c r="K15" i="161"/>
  <c r="H11" i="285"/>
  <c r="P11" i="285"/>
  <c r="J11" i="285"/>
  <c r="R31" i="37"/>
  <c r="E31" i="37" s="1"/>
  <c r="J121" i="273"/>
  <c r="K115" i="273"/>
  <c r="H101" i="273"/>
  <c r="H54" i="273"/>
  <c r="I55" i="273"/>
  <c r="L50" i="273"/>
  <c r="J45" i="273"/>
  <c r="H45" i="273"/>
  <c r="J41" i="273"/>
  <c r="J35" i="273"/>
  <c r="G55" i="273"/>
  <c r="H35" i="273"/>
  <c r="L28" i="273"/>
  <c r="J23" i="273"/>
  <c r="H23" i="273"/>
  <c r="K29" i="273"/>
  <c r="L17" i="273"/>
  <c r="J8" i="273"/>
  <c r="H8" i="273"/>
  <c r="D93" i="196"/>
  <c r="D32" i="196"/>
  <c r="E50" i="29"/>
  <c r="D53" i="29"/>
  <c r="C34" i="309"/>
  <c r="U19" i="309"/>
  <c r="U9" i="309"/>
  <c r="U14" i="309" s="1"/>
  <c r="U23" i="309"/>
  <c r="U28" i="309" s="1"/>
  <c r="T9" i="309"/>
  <c r="T14" i="309" s="1"/>
  <c r="V15" i="309"/>
  <c r="T23" i="309"/>
  <c r="Z13" i="239"/>
  <c r="Z12" i="239"/>
  <c r="Q9" i="239"/>
  <c r="O9" i="239"/>
  <c r="N37" i="160"/>
  <c r="N42" i="160" s="1"/>
  <c r="N35" i="161"/>
  <c r="O35" i="160"/>
  <c r="N19" i="161"/>
  <c r="O71" i="160"/>
  <c r="M101" i="161"/>
  <c r="N14" i="161"/>
  <c r="O14" i="161" s="1"/>
  <c r="M59" i="161"/>
  <c r="M102" i="160"/>
  <c r="N112" i="161"/>
  <c r="N108" i="161"/>
  <c r="O108" i="161" s="1"/>
  <c r="N73" i="160"/>
  <c r="N33" i="161"/>
  <c r="N50" i="161"/>
  <c r="N21" i="160"/>
  <c r="N22" i="160" s="1"/>
  <c r="N89" i="161"/>
  <c r="L97" i="161"/>
  <c r="N7" i="161"/>
  <c r="F79" i="161"/>
  <c r="H97" i="161"/>
  <c r="I71" i="161"/>
  <c r="O71" i="161" s="1"/>
  <c r="G114" i="161"/>
  <c r="I70" i="161"/>
  <c r="I73" i="160"/>
  <c r="I79" i="160"/>
  <c r="H102" i="160"/>
  <c r="F102" i="160"/>
  <c r="I33" i="161"/>
  <c r="G15" i="161"/>
  <c r="J29" i="160"/>
  <c r="O29" i="160"/>
  <c r="H52" i="161"/>
  <c r="I52" i="160"/>
  <c r="O52" i="160"/>
  <c r="J9" i="160"/>
  <c r="J18" i="160"/>
  <c r="G102" i="160"/>
  <c r="E41" i="161"/>
  <c r="N9" i="161"/>
  <c r="T9" i="161" s="1"/>
  <c r="N18" i="161"/>
  <c r="N57" i="161"/>
  <c r="O69" i="161"/>
  <c r="J50" i="161"/>
  <c r="N10" i="161"/>
  <c r="N75" i="161"/>
  <c r="O75" i="161" s="1"/>
  <c r="I17" i="161"/>
  <c r="N12" i="161"/>
  <c r="N11" i="161"/>
  <c r="N20" i="161"/>
  <c r="O20" i="161" s="1"/>
  <c r="M37" i="161"/>
  <c r="M42" i="161" s="1"/>
  <c r="N49" i="161"/>
  <c r="O49" i="161" s="1"/>
  <c r="E73" i="160"/>
  <c r="J73" i="160" s="1"/>
  <c r="J68" i="161"/>
  <c r="D101" i="161"/>
  <c r="E113" i="161"/>
  <c r="E111" i="161"/>
  <c r="J111" i="161" s="1"/>
  <c r="C91" i="161"/>
  <c r="E77" i="161"/>
  <c r="J77" i="161" s="1"/>
  <c r="D97" i="161"/>
  <c r="D102" i="160"/>
  <c r="B102" i="160"/>
  <c r="E37" i="160"/>
  <c r="B37" i="161"/>
  <c r="B42" i="161" s="1"/>
  <c r="O36" i="161"/>
  <c r="C97" i="161"/>
  <c r="B79" i="161"/>
  <c r="E109" i="161"/>
  <c r="J109" i="161" s="1"/>
  <c r="K101" i="161"/>
  <c r="K114" i="161"/>
  <c r="I112" i="161"/>
  <c r="F114" i="161"/>
  <c r="N54" i="161"/>
  <c r="G52" i="161"/>
  <c r="I18" i="161"/>
  <c r="M15" i="161"/>
  <c r="M22" i="161" s="1"/>
  <c r="N8" i="161"/>
  <c r="N17" i="161"/>
  <c r="N29" i="161"/>
  <c r="N58" i="161"/>
  <c r="N94" i="161"/>
  <c r="O94" i="161" s="1"/>
  <c r="N96" i="161"/>
  <c r="N106" i="161"/>
  <c r="M114" i="161"/>
  <c r="H73" i="161"/>
  <c r="O50" i="161"/>
  <c r="I35" i="161"/>
  <c r="O35" i="161" s="1"/>
  <c r="H114" i="161"/>
  <c r="G73" i="161"/>
  <c r="D79" i="161"/>
  <c r="E79" i="160"/>
  <c r="J79" i="160" s="1"/>
  <c r="C37" i="161"/>
  <c r="C42" i="161" s="1"/>
  <c r="E42" i="160"/>
  <c r="D37" i="161"/>
  <c r="D42" i="161" s="1"/>
  <c r="E52" i="160"/>
  <c r="J52" i="160" s="1"/>
  <c r="C102" i="160"/>
  <c r="E102" i="160"/>
  <c r="E87" i="161"/>
  <c r="J87" i="161" s="1"/>
  <c r="J70" i="161"/>
  <c r="C102" i="161"/>
  <c r="N79" i="183"/>
  <c r="O31" i="183"/>
  <c r="I98" i="183"/>
  <c r="I79" i="183"/>
  <c r="O77" i="183"/>
  <c r="I74" i="183"/>
  <c r="O74" i="183" s="1"/>
  <c r="O69" i="183"/>
  <c r="J67" i="183"/>
  <c r="G80" i="183"/>
  <c r="I52" i="183"/>
  <c r="O52" i="183" s="1"/>
  <c r="J42" i="183"/>
  <c r="F23" i="183"/>
  <c r="J16" i="183"/>
  <c r="E102" i="183"/>
  <c r="J102" i="183" s="1"/>
  <c r="J76" i="183"/>
  <c r="E60" i="183"/>
  <c r="J60" i="183" s="1"/>
  <c r="E22" i="183"/>
  <c r="J22" i="183" s="1"/>
  <c r="U9" i="310"/>
  <c r="V15" i="310"/>
  <c r="V21" i="310"/>
  <c r="O45" i="185"/>
  <c r="O66" i="185"/>
  <c r="O29" i="185"/>
  <c r="O10" i="185"/>
  <c r="O30" i="185"/>
  <c r="O37" i="185"/>
  <c r="O12" i="185"/>
  <c r="O65" i="185"/>
  <c r="T71" i="185"/>
  <c r="S83" i="185"/>
  <c r="T83" i="185" s="1"/>
  <c r="W21" i="185"/>
  <c r="X87" i="185"/>
  <c r="AD87" i="185" s="1"/>
  <c r="X83" i="185"/>
  <c r="AD83" i="185" s="1"/>
  <c r="N107" i="185"/>
  <c r="N87" i="185"/>
  <c r="S73" i="185"/>
  <c r="R99" i="185"/>
  <c r="S94" i="185"/>
  <c r="Y87" i="185"/>
  <c r="Y72" i="185"/>
  <c r="T31" i="185"/>
  <c r="T87" i="185"/>
  <c r="N20" i="185"/>
  <c r="N73" i="185"/>
  <c r="T73" i="185" s="1"/>
  <c r="S20" i="185"/>
  <c r="S33" i="185"/>
  <c r="S38" i="185" s="1"/>
  <c r="S107" i="185"/>
  <c r="Y107" i="185" s="1"/>
  <c r="K99" i="185"/>
  <c r="S54" i="185"/>
  <c r="T106" i="185"/>
  <c r="T46" i="185"/>
  <c r="X99" i="185"/>
  <c r="AD99" i="185" s="1"/>
  <c r="T20" i="185"/>
  <c r="Y94" i="185"/>
  <c r="Y20" i="185"/>
  <c r="T107" i="185"/>
  <c r="I87" i="185"/>
  <c r="F99" i="185"/>
  <c r="I83" i="185"/>
  <c r="O83" i="185" s="1"/>
  <c r="I33" i="185"/>
  <c r="I94" i="185"/>
  <c r="H99" i="185"/>
  <c r="H74" i="185"/>
  <c r="J87" i="185"/>
  <c r="I73" i="185"/>
  <c r="J73" i="185"/>
  <c r="F74" i="185"/>
  <c r="O31" i="185"/>
  <c r="J46" i="185"/>
  <c r="O46" i="185"/>
  <c r="I20" i="185"/>
  <c r="O20" i="185" s="1"/>
  <c r="O73" i="185"/>
  <c r="I26" i="234"/>
  <c r="L26" i="234" s="1"/>
  <c r="G26" i="234"/>
  <c r="E26" i="234"/>
  <c r="F26" i="234" s="1"/>
  <c r="C26" i="234"/>
  <c r="F18" i="234"/>
  <c r="D18" i="234"/>
  <c r="X73" i="185"/>
  <c r="I52" i="161"/>
  <c r="L15" i="161"/>
  <c r="M97" i="161"/>
  <c r="M102" i="161" s="1"/>
  <c r="P52" i="161"/>
  <c r="R52" i="161"/>
  <c r="U15" i="161"/>
  <c r="X17" i="161"/>
  <c r="AD17" i="161" s="1"/>
  <c r="X29" i="161"/>
  <c r="AD29" i="161" s="1"/>
  <c r="X41" i="161"/>
  <c r="AD41" i="161" s="1"/>
  <c r="X51" i="161"/>
  <c r="AD51" i="161" s="1"/>
  <c r="X54" i="161"/>
  <c r="AD54" i="161" s="1"/>
  <c r="V79" i="161"/>
  <c r="X87" i="161"/>
  <c r="AD87" i="161" s="1"/>
  <c r="X93" i="161"/>
  <c r="AD93" i="161" s="1"/>
  <c r="X100" i="161"/>
  <c r="AD100" i="161" s="1"/>
  <c r="V114" i="161"/>
  <c r="E32" i="161"/>
  <c r="Q15" i="161"/>
  <c r="S8" i="161"/>
  <c r="S10" i="161"/>
  <c r="S12" i="161"/>
  <c r="S14" i="161"/>
  <c r="Q21" i="161"/>
  <c r="S18" i="161"/>
  <c r="S20" i="161"/>
  <c r="Q37" i="161"/>
  <c r="Q42" i="161" s="1"/>
  <c r="S30" i="161"/>
  <c r="T30" i="161" s="1"/>
  <c r="S32" i="161"/>
  <c r="T32" i="161" s="1"/>
  <c r="S34" i="161"/>
  <c r="S36" i="161"/>
  <c r="S50" i="161"/>
  <c r="T50" i="161" s="1"/>
  <c r="Q52" i="161"/>
  <c r="P59" i="161"/>
  <c r="R59" i="161"/>
  <c r="S56" i="161"/>
  <c r="S58" i="161"/>
  <c r="T58" i="161" s="1"/>
  <c r="P79" i="161"/>
  <c r="R79" i="161"/>
  <c r="P91" i="161"/>
  <c r="R91" i="161"/>
  <c r="P97" i="161"/>
  <c r="R97" i="161"/>
  <c r="S94" i="161"/>
  <c r="S95" i="161"/>
  <c r="S96" i="161"/>
  <c r="T96" i="161" s="1"/>
  <c r="X65" i="161"/>
  <c r="AD65" i="161" s="1"/>
  <c r="X68" i="161"/>
  <c r="AD68" i="161" s="1"/>
  <c r="X89" i="161"/>
  <c r="X99" i="161"/>
  <c r="AD99" i="161" s="1"/>
  <c r="P15" i="161"/>
  <c r="S17" i="161"/>
  <c r="T17" i="161" s="1"/>
  <c r="S29" i="161"/>
  <c r="T34" i="161"/>
  <c r="S41" i="161"/>
  <c r="S51" i="161"/>
  <c r="Y51" i="161" s="1"/>
  <c r="S54" i="161"/>
  <c r="T54" i="161" s="1"/>
  <c r="S61" i="161"/>
  <c r="Q79" i="161"/>
  <c r="S87" i="161"/>
  <c r="Y87" i="161" s="1"/>
  <c r="S93" i="161"/>
  <c r="S100" i="161"/>
  <c r="S108" i="161"/>
  <c r="Q114" i="161"/>
  <c r="T10" i="161"/>
  <c r="T14" i="161"/>
  <c r="S89" i="161"/>
  <c r="S99" i="161"/>
  <c r="E34" i="161"/>
  <c r="J34" i="161" s="1"/>
  <c r="E36" i="161"/>
  <c r="J36" i="161" s="1"/>
  <c r="Y17" i="160"/>
  <c r="Y29" i="160"/>
  <c r="Y51" i="160"/>
  <c r="Y65" i="160"/>
  <c r="Y75" i="160"/>
  <c r="Y87" i="160"/>
  <c r="Y89" i="160"/>
  <c r="Y100" i="160"/>
  <c r="Y106" i="160"/>
  <c r="B21" i="161"/>
  <c r="B22" i="161" s="1"/>
  <c r="E33" i="161"/>
  <c r="J33" i="161" s="1"/>
  <c r="E35" i="161"/>
  <c r="J35" i="161" s="1"/>
  <c r="T7" i="160"/>
  <c r="T41" i="160"/>
  <c r="T54" i="160"/>
  <c r="T68" i="160"/>
  <c r="T93" i="160"/>
  <c r="Y100" i="161"/>
  <c r="Y41" i="161"/>
  <c r="T89" i="161"/>
  <c r="X101" i="161"/>
  <c r="AD101" i="161" s="1"/>
  <c r="S97" i="161"/>
  <c r="T36" i="161"/>
  <c r="T18" i="161"/>
  <c r="E61" i="161"/>
  <c r="D80" i="160"/>
  <c r="O73" i="160"/>
  <c r="F22" i="160"/>
  <c r="G22" i="160"/>
  <c r="I13" i="161"/>
  <c r="J13" i="161" s="1"/>
  <c r="I12" i="161"/>
  <c r="J12" i="161" s="1"/>
  <c r="I11" i="161"/>
  <c r="O11" i="161" s="1"/>
  <c r="I10" i="161"/>
  <c r="J10" i="161" s="1"/>
  <c r="I8" i="161"/>
  <c r="J11" i="161"/>
  <c r="J9" i="161"/>
  <c r="O7" i="161"/>
  <c r="J8" i="160"/>
  <c r="F80" i="160"/>
  <c r="B59" i="161"/>
  <c r="D59" i="161"/>
  <c r="E56" i="161"/>
  <c r="J56" i="161" s="1"/>
  <c r="E57" i="161"/>
  <c r="J58" i="161"/>
  <c r="G59" i="161"/>
  <c r="I54" i="161"/>
  <c r="O54" i="161" s="1"/>
  <c r="C73" i="161"/>
  <c r="E91" i="161"/>
  <c r="O78" i="160"/>
  <c r="O75" i="160"/>
  <c r="O77" i="160"/>
  <c r="C80" i="160"/>
  <c r="H117" i="160"/>
  <c r="K79" i="161"/>
  <c r="N77" i="161"/>
  <c r="O77" i="161" s="1"/>
  <c r="O57" i="160"/>
  <c r="N13" i="161"/>
  <c r="S106" i="161"/>
  <c r="T106" i="161" s="1"/>
  <c r="R114" i="161"/>
  <c r="S109" i="161"/>
  <c r="S113" i="161"/>
  <c r="R101" i="161"/>
  <c r="P101" i="161"/>
  <c r="P102" i="161" s="1"/>
  <c r="S75" i="161"/>
  <c r="T75" i="161" s="1"/>
  <c r="S68" i="161"/>
  <c r="T68" i="161" s="1"/>
  <c r="P37" i="161"/>
  <c r="P42" i="161" s="1"/>
  <c r="Q22" i="161"/>
  <c r="S15" i="160"/>
  <c r="T15" i="160" s="1"/>
  <c r="T106" i="160"/>
  <c r="T109" i="160"/>
  <c r="T108" i="160"/>
  <c r="T110" i="160"/>
  <c r="N102" i="160"/>
  <c r="T87" i="160"/>
  <c r="T75" i="160"/>
  <c r="T77" i="160"/>
  <c r="T78" i="160"/>
  <c r="T55" i="160"/>
  <c r="T50" i="160"/>
  <c r="K117" i="160"/>
  <c r="T34" i="160"/>
  <c r="T29" i="160"/>
  <c r="Y108" i="160"/>
  <c r="Y109" i="160"/>
  <c r="Y110" i="160"/>
  <c r="P114" i="161"/>
  <c r="S114" i="160"/>
  <c r="T100" i="160"/>
  <c r="T89" i="160"/>
  <c r="T90" i="160"/>
  <c r="Y68" i="161"/>
  <c r="Q73" i="161"/>
  <c r="S52" i="160"/>
  <c r="Y50" i="160"/>
  <c r="S37" i="160"/>
  <c r="S42" i="160" s="1"/>
  <c r="T30" i="160"/>
  <c r="T31" i="160"/>
  <c r="T32" i="160"/>
  <c r="T33" i="160"/>
  <c r="T20" i="161"/>
  <c r="J8" i="161"/>
  <c r="T37" i="160"/>
  <c r="E52" i="183"/>
  <c r="E80" i="183" s="1"/>
  <c r="J74" i="183"/>
  <c r="T113" i="183"/>
  <c r="O9" i="183"/>
  <c r="Y42" i="183"/>
  <c r="Y51" i="183"/>
  <c r="Y54" i="183"/>
  <c r="Y63" i="183"/>
  <c r="Y69" i="183"/>
  <c r="Y76" i="183"/>
  <c r="Y87" i="183"/>
  <c r="Y89" i="183"/>
  <c r="Y93" i="183"/>
  <c r="Y101" i="183"/>
  <c r="Y108" i="183"/>
  <c r="J52" i="183"/>
  <c r="O37" i="183"/>
  <c r="O36" i="183"/>
  <c r="O78" i="183"/>
  <c r="O73" i="183"/>
  <c r="L80" i="183"/>
  <c r="O40" i="183"/>
  <c r="O32" i="183"/>
  <c r="O101" i="183"/>
  <c r="O35" i="183"/>
  <c r="N38" i="183"/>
  <c r="O14" i="183"/>
  <c r="N60" i="183"/>
  <c r="O60" i="183" s="1"/>
  <c r="K103" i="183"/>
  <c r="K118" i="183" s="1"/>
  <c r="O112" i="183"/>
  <c r="O110" i="183"/>
  <c r="O109" i="183"/>
  <c r="O11" i="183"/>
  <c r="O51" i="183"/>
  <c r="N98" i="183"/>
  <c r="O93" i="183"/>
  <c r="O7" i="183"/>
  <c r="M103" i="183"/>
  <c r="M118" i="183" s="1"/>
  <c r="O96" i="183"/>
  <c r="O72" i="183"/>
  <c r="O22" i="183"/>
  <c r="J72" i="183"/>
  <c r="D103" i="183"/>
  <c r="J34" i="183"/>
  <c r="N43" i="183"/>
  <c r="O43" i="183" s="1"/>
  <c r="O38" i="183"/>
  <c r="T98" i="183"/>
  <c r="O98" i="183"/>
  <c r="I26" i="27"/>
  <c r="L26" i="27" s="1"/>
  <c r="V13" i="27"/>
  <c r="S13" i="27"/>
  <c r="W13" i="27"/>
  <c r="B26" i="27"/>
  <c r="D26" i="27" s="1"/>
  <c r="D24" i="27"/>
  <c r="G26" i="181"/>
  <c r="E26" i="181"/>
  <c r="H26" i="181"/>
  <c r="F18" i="181"/>
  <c r="F26" i="181"/>
  <c r="E34" i="159"/>
  <c r="F34" i="159" s="1"/>
  <c r="H22" i="159"/>
  <c r="H122" i="159"/>
  <c r="N131" i="274"/>
  <c r="I130" i="274"/>
  <c r="S48" i="274"/>
  <c r="O137" i="274"/>
  <c r="M137" i="274"/>
  <c r="Q137" i="274"/>
  <c r="S137" i="274"/>
  <c r="K137" i="274"/>
  <c r="G137" i="274"/>
  <c r="G57" i="274"/>
  <c r="G52" i="274"/>
  <c r="G42" i="274"/>
  <c r="K22" i="274"/>
  <c r="U48" i="274"/>
  <c r="W6" i="274"/>
  <c r="U28" i="274"/>
  <c r="U65" i="274"/>
  <c r="R105" i="274"/>
  <c r="R138" i="274" s="1"/>
  <c r="T105" i="274"/>
  <c r="W52" i="274"/>
  <c r="W28" i="274"/>
  <c r="T131" i="274"/>
  <c r="T138" i="274" s="1"/>
  <c r="W42" i="274"/>
  <c r="W57" i="274"/>
  <c r="W97" i="274"/>
  <c r="G130" i="274"/>
  <c r="G115" i="274"/>
  <c r="O93" i="274"/>
  <c r="K93" i="274"/>
  <c r="O91" i="274"/>
  <c r="K91" i="274"/>
  <c r="K73" i="274"/>
  <c r="K65" i="274"/>
  <c r="G65" i="274"/>
  <c r="I52" i="274"/>
  <c r="I42" i="274"/>
  <c r="G34" i="274"/>
  <c r="G28" i="274"/>
  <c r="Q24" i="274"/>
  <c r="M24" i="274"/>
  <c r="G13" i="274"/>
  <c r="L66" i="274"/>
  <c r="U42" i="274"/>
  <c r="U52" i="274"/>
  <c r="P105" i="274"/>
  <c r="U34" i="274"/>
  <c r="U97" i="274"/>
  <c r="W48" i="274"/>
  <c r="AA6" i="274"/>
  <c r="AB131" i="274"/>
  <c r="AC131" i="274" s="1"/>
  <c r="W13" i="274"/>
  <c r="Q13" i="274"/>
  <c r="U13" i="274"/>
  <c r="O13" i="274"/>
  <c r="S13" i="274"/>
  <c r="O56" i="274"/>
  <c r="E35" i="274"/>
  <c r="P66" i="274"/>
  <c r="U6" i="274"/>
  <c r="W15" i="274"/>
  <c r="W17" i="274"/>
  <c r="Y6" i="274"/>
  <c r="Y22" i="274"/>
  <c r="Y34" i="274"/>
  <c r="AC6" i="274"/>
  <c r="Y52" i="274"/>
  <c r="Y57" i="274"/>
  <c r="U18" i="274"/>
  <c r="U16" i="274"/>
  <c r="Y28" i="274"/>
  <c r="Y42" i="274"/>
  <c r="Y48" i="274"/>
  <c r="Y65" i="274"/>
  <c r="Y88" i="274"/>
  <c r="AC97" i="274"/>
  <c r="AA104" i="274"/>
  <c r="Y115" i="274"/>
  <c r="Z131" i="274"/>
  <c r="X131" i="274"/>
  <c r="AA115" i="274"/>
  <c r="AC115" i="274"/>
  <c r="Y97" i="274"/>
  <c r="AA97" i="274"/>
  <c r="AB105" i="274"/>
  <c r="Z105" i="274"/>
  <c r="X105" i="274"/>
  <c r="AC88" i="274"/>
  <c r="AC57" i="274"/>
  <c r="AA57" i="274"/>
  <c r="AA52" i="274"/>
  <c r="AC52" i="274"/>
  <c r="AC48" i="274"/>
  <c r="AA48" i="274"/>
  <c r="AB66" i="274"/>
  <c r="Z66" i="274"/>
  <c r="X66" i="274"/>
  <c r="AA42" i="274"/>
  <c r="AC42" i="274"/>
  <c r="AC28" i="274"/>
  <c r="AA28" i="274"/>
  <c r="AA22" i="274"/>
  <c r="AC22" i="274"/>
  <c r="AC130" i="274"/>
  <c r="AC137" i="274"/>
  <c r="AA130" i="274"/>
  <c r="AA137" i="274"/>
  <c r="Y130" i="274"/>
  <c r="Y137" i="274"/>
  <c r="AC104" i="274"/>
  <c r="Y104" i="274"/>
  <c r="AC65" i="274"/>
  <c r="AA65" i="274"/>
  <c r="AB35" i="274"/>
  <c r="AC34" i="274"/>
  <c r="Z35" i="274"/>
  <c r="AA34" i="274"/>
  <c r="X13" i="274"/>
  <c r="Y13" i="274" s="1"/>
  <c r="I97" i="159"/>
  <c r="J54" i="159"/>
  <c r="I34" i="159"/>
  <c r="L34" i="159" s="1"/>
  <c r="H81" i="159"/>
  <c r="H121" i="159"/>
  <c r="G129" i="159"/>
  <c r="J81" i="159"/>
  <c r="H54" i="159"/>
  <c r="Y66" i="274"/>
  <c r="AA105" i="274"/>
  <c r="F53" i="29"/>
  <c r="G50" i="29"/>
  <c r="K49" i="29"/>
  <c r="I50" i="29"/>
  <c r="H53" i="29"/>
  <c r="E53" i="29"/>
  <c r="R29" i="37"/>
  <c r="C29" i="37" s="1"/>
  <c r="K29" i="37"/>
  <c r="M46" i="261"/>
  <c r="P48" i="261"/>
  <c r="M45" i="261"/>
  <c r="J48" i="261"/>
  <c r="S46" i="261"/>
  <c r="O46" i="261"/>
  <c r="X48" i="261"/>
  <c r="Y42" i="308"/>
  <c r="W42" i="308"/>
  <c r="N56" i="308"/>
  <c r="S42" i="308"/>
  <c r="U42" i="308"/>
  <c r="J56" i="308"/>
  <c r="O42" i="308"/>
  <c r="Q42" i="308"/>
  <c r="M42" i="308"/>
  <c r="B56" i="308"/>
  <c r="AC35" i="308"/>
  <c r="AB110" i="308"/>
  <c r="Z110" i="308"/>
  <c r="Y96" i="308"/>
  <c r="X110" i="308"/>
  <c r="AC96" i="308"/>
  <c r="AC78" i="308"/>
  <c r="AA78" i="308"/>
  <c r="AB85" i="308"/>
  <c r="AE85" i="308" s="1"/>
  <c r="Z85" i="308"/>
  <c r="AA70" i="308"/>
  <c r="X85" i="308"/>
  <c r="AC70" i="308"/>
  <c r="AA51" i="308"/>
  <c r="AC51" i="308"/>
  <c r="Y46" i="308"/>
  <c r="AA46" i="308"/>
  <c r="AC42" i="308"/>
  <c r="AA42" i="308"/>
  <c r="AB56" i="308"/>
  <c r="Z56" i="308"/>
  <c r="AC56" i="308" s="1"/>
  <c r="AA35" i="308"/>
  <c r="X56" i="308"/>
  <c r="AA28" i="308"/>
  <c r="Y22" i="308"/>
  <c r="AC22" i="308"/>
  <c r="AA18" i="308"/>
  <c r="AC18" i="308"/>
  <c r="AB29" i="308"/>
  <c r="Z29" i="308"/>
  <c r="AA9" i="308"/>
  <c r="AC9" i="308"/>
  <c r="X29" i="308"/>
  <c r="AC109" i="308"/>
  <c r="AA109" i="308"/>
  <c r="Y109" i="308"/>
  <c r="AC84" i="308"/>
  <c r="AA84" i="308"/>
  <c r="Y84" i="308"/>
  <c r="AC55" i="308"/>
  <c r="AA55" i="308"/>
  <c r="Y55" i="308"/>
  <c r="AC28" i="308"/>
  <c r="J47" i="39"/>
  <c r="X111" i="308"/>
  <c r="J112" i="196"/>
  <c r="I125" i="196"/>
  <c r="J101" i="196"/>
  <c r="D65" i="196"/>
  <c r="B66" i="196"/>
  <c r="C33" i="196"/>
  <c r="B102" i="196"/>
  <c r="B26" i="196"/>
  <c r="D42" i="196"/>
  <c r="B131" i="196"/>
  <c r="D57" i="196"/>
  <c r="F127" i="196"/>
  <c r="H24" i="196"/>
  <c r="H131" i="196"/>
  <c r="J57" i="196"/>
  <c r="J55" i="196"/>
  <c r="J32" i="196"/>
  <c r="J26" i="196"/>
  <c r="J20" i="196"/>
  <c r="J124" i="196"/>
  <c r="G125" i="196"/>
  <c r="J125" i="196" s="1"/>
  <c r="H101" i="196"/>
  <c r="H93" i="196"/>
  <c r="G102" i="196"/>
  <c r="J102" i="196" s="1"/>
  <c r="H84" i="196"/>
  <c r="H65" i="196"/>
  <c r="H55" i="196"/>
  <c r="H50" i="196"/>
  <c r="H42" i="196"/>
  <c r="J40" i="196"/>
  <c r="H32" i="196"/>
  <c r="H26" i="196"/>
  <c r="G33" i="196"/>
  <c r="F40" i="196"/>
  <c r="F26" i="196"/>
  <c r="F131" i="196"/>
  <c r="F112" i="196"/>
  <c r="H112" i="196"/>
  <c r="E102" i="196"/>
  <c r="E33" i="196"/>
  <c r="F10" i="196"/>
  <c r="D131" i="196"/>
  <c r="D26" i="196"/>
  <c r="B33" i="196"/>
  <c r="F33" i="196"/>
  <c r="H33" i="196"/>
  <c r="N115" i="273"/>
  <c r="M29" i="273"/>
  <c r="P29" i="273" s="1"/>
  <c r="L82" i="273"/>
  <c r="K55" i="273"/>
  <c r="N55" i="273" s="1"/>
  <c r="L115" i="273"/>
  <c r="J115" i="273"/>
  <c r="J54" i="273"/>
  <c r="I29" i="273"/>
  <c r="L29" i="273" s="1"/>
  <c r="J55" i="273"/>
  <c r="J89" i="273"/>
  <c r="J114" i="273"/>
  <c r="J50" i="273"/>
  <c r="G29" i="273"/>
  <c r="J82" i="273"/>
  <c r="L55" i="273"/>
  <c r="E115" i="273"/>
  <c r="H115" i="273" s="1"/>
  <c r="E55" i="273"/>
  <c r="H55" i="273" s="1"/>
  <c r="T29" i="161" l="1"/>
  <c r="Y29" i="161"/>
  <c r="L110" i="185"/>
  <c r="G90" i="273"/>
  <c r="J90" i="273" s="1"/>
  <c r="N29" i="273"/>
  <c r="AE56" i="308"/>
  <c r="I53" i="29"/>
  <c r="AA66" i="274"/>
  <c r="H34" i="159"/>
  <c r="J54" i="161"/>
  <c r="I59" i="160"/>
  <c r="F117" i="160"/>
  <c r="O8" i="161"/>
  <c r="T94" i="161"/>
  <c r="T108" i="161"/>
  <c r="T99" i="161"/>
  <c r="T8" i="161"/>
  <c r="O9" i="161"/>
  <c r="E91" i="183"/>
  <c r="J91" i="183" s="1"/>
  <c r="X38" i="185"/>
  <c r="AD38" i="185" s="1"/>
  <c r="AD33" i="185"/>
  <c r="Y33" i="185"/>
  <c r="R110" i="185"/>
  <c r="H17" i="273"/>
  <c r="E22" i="160"/>
  <c r="F22" i="161"/>
  <c r="J7" i="160"/>
  <c r="E15" i="160"/>
  <c r="J94" i="161"/>
  <c r="B102" i="161"/>
  <c r="F50" i="196"/>
  <c r="D50" i="196"/>
  <c r="F101" i="196"/>
  <c r="C102" i="196"/>
  <c r="F102" i="196" s="1"/>
  <c r="N114" i="160"/>
  <c r="T114" i="160" s="1"/>
  <c r="Z10" i="239"/>
  <c r="K13" i="239"/>
  <c r="T59" i="183"/>
  <c r="O59" i="183"/>
  <c r="T100" i="183"/>
  <c r="O100" i="183"/>
  <c r="N102" i="183"/>
  <c r="T12" i="183"/>
  <c r="O12" i="183"/>
  <c r="T9" i="183"/>
  <c r="N16" i="183"/>
  <c r="N23" i="183" s="1"/>
  <c r="AE29" i="308"/>
  <c r="X35" i="274"/>
  <c r="AE35" i="274" s="1"/>
  <c r="J26" i="181"/>
  <c r="O91" i="183"/>
  <c r="L118" i="183"/>
  <c r="R102" i="161"/>
  <c r="J98" i="183"/>
  <c r="C103" i="183"/>
  <c r="C118" i="183" s="1"/>
  <c r="C80" i="183"/>
  <c r="B80" i="183"/>
  <c r="B118" i="183" s="1"/>
  <c r="M99" i="185"/>
  <c r="O109" i="160"/>
  <c r="J109" i="160"/>
  <c r="J93" i="160"/>
  <c r="O93" i="160"/>
  <c r="O41" i="160"/>
  <c r="J41" i="160"/>
  <c r="I42" i="160"/>
  <c r="J42" i="160" s="1"/>
  <c r="O17" i="160"/>
  <c r="I21" i="160"/>
  <c r="D33" i="196"/>
  <c r="AA85" i="308"/>
  <c r="AB111" i="308"/>
  <c r="AE110" i="308"/>
  <c r="AA13" i="274"/>
  <c r="N103" i="183"/>
  <c r="N15" i="161"/>
  <c r="T12" i="161"/>
  <c r="J113" i="161"/>
  <c r="O33" i="161"/>
  <c r="I103" i="183"/>
  <c r="O103" i="183" s="1"/>
  <c r="O101" i="160"/>
  <c r="E73" i="161"/>
  <c r="V110" i="185"/>
  <c r="J18" i="181"/>
  <c r="L18" i="181"/>
  <c r="J31" i="160"/>
  <c r="E19" i="161"/>
  <c r="E95" i="161"/>
  <c r="E97" i="161" s="1"/>
  <c r="E108" i="161"/>
  <c r="C114" i="161"/>
  <c r="G78" i="187"/>
  <c r="Y73" i="185"/>
  <c r="AD73" i="185"/>
  <c r="H49" i="159"/>
  <c r="E63" i="159"/>
  <c r="E55" i="184"/>
  <c r="AD65" i="185"/>
  <c r="Y65" i="185"/>
  <c r="I13" i="274"/>
  <c r="Q44" i="274"/>
  <c r="M44" i="274"/>
  <c r="T70" i="160"/>
  <c r="O70" i="160"/>
  <c r="J115" i="274"/>
  <c r="K112" i="274"/>
  <c r="S112" i="274"/>
  <c r="M112" i="274"/>
  <c r="Q112" i="274"/>
  <c r="S104" i="274"/>
  <c r="O29" i="37"/>
  <c r="N94" i="185"/>
  <c r="T94" i="185" s="1"/>
  <c r="O90" i="185"/>
  <c r="Y89" i="161"/>
  <c r="L22" i="161"/>
  <c r="O87" i="185"/>
  <c r="J79" i="183"/>
  <c r="N37" i="161"/>
  <c r="O18" i="161"/>
  <c r="O70" i="161"/>
  <c r="F26" i="27"/>
  <c r="J20" i="161"/>
  <c r="I78" i="161"/>
  <c r="N33" i="185"/>
  <c r="W110" i="185"/>
  <c r="Q46" i="261"/>
  <c r="B22" i="160"/>
  <c r="B80" i="160"/>
  <c r="H101" i="161"/>
  <c r="H102" i="161" s="1"/>
  <c r="M74" i="185"/>
  <c r="J12" i="160"/>
  <c r="J113" i="160"/>
  <c r="C66" i="161"/>
  <c r="D101" i="196"/>
  <c r="N41" i="273"/>
  <c r="AA44" i="261"/>
  <c r="B125" i="196"/>
  <c r="D125" i="196" s="1"/>
  <c r="B115" i="184"/>
  <c r="Q110" i="185"/>
  <c r="T39" i="160"/>
  <c r="O39" i="160"/>
  <c r="I101" i="161"/>
  <c r="J108" i="161"/>
  <c r="N39" i="161"/>
  <c r="T87" i="183"/>
  <c r="O87" i="183"/>
  <c r="N35" i="273"/>
  <c r="P35" i="273"/>
  <c r="Q109" i="308"/>
  <c r="U13" i="239"/>
  <c r="Z14" i="239"/>
  <c r="S13" i="239"/>
  <c r="D112" i="196"/>
  <c r="J24" i="181"/>
  <c r="L24" i="181"/>
  <c r="J14" i="160"/>
  <c r="J10" i="160"/>
  <c r="J20" i="160"/>
  <c r="E17" i="161"/>
  <c r="F32" i="196"/>
  <c r="M22" i="160"/>
  <c r="M117" i="160" s="1"/>
  <c r="I37" i="160"/>
  <c r="O37" i="160" s="1"/>
  <c r="L42" i="161"/>
  <c r="J18" i="234"/>
  <c r="L18" i="234"/>
  <c r="K136" i="274"/>
  <c r="I136" i="274"/>
  <c r="D56" i="308"/>
  <c r="I106" i="161"/>
  <c r="I114" i="161" s="1"/>
  <c r="N41" i="161"/>
  <c r="L59" i="161"/>
  <c r="N78" i="161"/>
  <c r="N87" i="161"/>
  <c r="N95" i="161"/>
  <c r="N99" i="161"/>
  <c r="O99" i="161" s="1"/>
  <c r="N100" i="161"/>
  <c r="O100" i="161" s="1"/>
  <c r="N109" i="161"/>
  <c r="O109" i="161" s="1"/>
  <c r="N111" i="161"/>
  <c r="N113" i="161"/>
  <c r="O56" i="183"/>
  <c r="F115" i="184"/>
  <c r="L115" i="184"/>
  <c r="F93" i="196"/>
  <c r="H28" i="273"/>
  <c r="B29" i="273"/>
  <c r="D29" i="273" s="1"/>
  <c r="D8" i="273"/>
  <c r="O56" i="185"/>
  <c r="N61" i="185"/>
  <c r="X46" i="185"/>
  <c r="AD45" i="185"/>
  <c r="H40" i="196"/>
  <c r="O81" i="185"/>
  <c r="E29" i="308"/>
  <c r="F29" i="308"/>
  <c r="P56" i="308"/>
  <c r="M78" i="308"/>
  <c r="S78" i="308"/>
  <c r="C110" i="308"/>
  <c r="H110" i="308"/>
  <c r="P110" i="308"/>
  <c r="T73" i="183"/>
  <c r="S13" i="181"/>
  <c r="X69" i="185"/>
  <c r="AD69" i="185" s="1"/>
  <c r="AD64" i="185"/>
  <c r="U69" i="186"/>
  <c r="J92" i="185"/>
  <c r="O92" i="185"/>
  <c r="J81" i="185"/>
  <c r="E94" i="185"/>
  <c r="J94" i="185" s="1"/>
  <c r="G74" i="185"/>
  <c r="Y94" i="160"/>
  <c r="Y112" i="160"/>
  <c r="AD17" i="160"/>
  <c r="X21" i="160"/>
  <c r="AD21" i="160" s="1"/>
  <c r="AE133" i="274"/>
  <c r="AA133" i="274"/>
  <c r="AC133" i="274"/>
  <c r="AE9" i="308"/>
  <c r="AE18" i="308"/>
  <c r="AE28" i="308"/>
  <c r="AD18" i="183"/>
  <c r="X22" i="183"/>
  <c r="AD22" i="183" s="1"/>
  <c r="F103" i="183"/>
  <c r="F118" i="183" s="1"/>
  <c r="G103" i="183"/>
  <c r="G118" i="183" s="1"/>
  <c r="H23" i="183"/>
  <c r="H118" i="183" s="1"/>
  <c r="J78" i="183"/>
  <c r="J70" i="183"/>
  <c r="J59" i="183"/>
  <c r="C115" i="184"/>
  <c r="O71" i="185"/>
  <c r="T52" i="185"/>
  <c r="O96" i="160"/>
  <c r="O11" i="160"/>
  <c r="F66" i="161"/>
  <c r="M66" i="161"/>
  <c r="E17" i="268"/>
  <c r="J7" i="183"/>
  <c r="O89" i="183"/>
  <c r="O42" i="183"/>
  <c r="F67" i="184"/>
  <c r="H115" i="184"/>
  <c r="L67" i="184"/>
  <c r="D121" i="273"/>
  <c r="D82" i="273"/>
  <c r="D50" i="273"/>
  <c r="D41" i="273"/>
  <c r="D28" i="273"/>
  <c r="Y50" i="185"/>
  <c r="Y96" i="185"/>
  <c r="X61" i="185"/>
  <c r="AD61" i="185" s="1"/>
  <c r="AD56" i="185"/>
  <c r="Y49" i="185"/>
  <c r="P21" i="185"/>
  <c r="P110" i="185" s="1"/>
  <c r="U21" i="185"/>
  <c r="U110" i="185" s="1"/>
  <c r="L61" i="186"/>
  <c r="E131" i="274"/>
  <c r="M52" i="274"/>
  <c r="J84" i="196"/>
  <c r="Y105" i="185"/>
  <c r="AD105" i="185"/>
  <c r="Q7" i="239"/>
  <c r="J56" i="185"/>
  <c r="N69" i="185"/>
  <c r="L69" i="186"/>
  <c r="W69" i="186"/>
  <c r="Y68" i="185"/>
  <c r="AD68" i="185"/>
  <c r="O96" i="185"/>
  <c r="I98" i="185"/>
  <c r="O98" i="185" s="1"/>
  <c r="J106" i="185"/>
  <c r="S21" i="160"/>
  <c r="S97" i="160"/>
  <c r="T97" i="160" s="1"/>
  <c r="R80" i="183"/>
  <c r="AE35" i="308"/>
  <c r="AE46" i="308"/>
  <c r="AE51" i="308"/>
  <c r="AE70" i="308"/>
  <c r="AE84" i="308"/>
  <c r="AE96" i="308"/>
  <c r="AE109" i="308"/>
  <c r="H89" i="159"/>
  <c r="H27" i="159"/>
  <c r="G48" i="261"/>
  <c r="G115" i="184"/>
  <c r="K115" i="184"/>
  <c r="C90" i="273"/>
  <c r="Y56" i="185"/>
  <c r="S61" i="185"/>
  <c r="Y93" i="185"/>
  <c r="AD93" i="185"/>
  <c r="D105" i="274"/>
  <c r="K99" i="274"/>
  <c r="I93" i="274"/>
  <c r="K40" i="274"/>
  <c r="C35" i="274"/>
  <c r="S6" i="274"/>
  <c r="J50" i="196"/>
  <c r="G26" i="27"/>
  <c r="G78" i="308"/>
  <c r="N110" i="308"/>
  <c r="S109" i="308"/>
  <c r="G35" i="308"/>
  <c r="M35" i="308"/>
  <c r="E34" i="309"/>
  <c r="Q34" i="309"/>
  <c r="U18" i="309"/>
  <c r="O33" i="183"/>
  <c r="T23" i="310"/>
  <c r="T28" i="310"/>
  <c r="O64" i="185"/>
  <c r="E69" i="185"/>
  <c r="J64" i="185"/>
  <c r="G21" i="185"/>
  <c r="G99" i="185"/>
  <c r="B99" i="185"/>
  <c r="Y7" i="160"/>
  <c r="Y11" i="160"/>
  <c r="Q22" i="160"/>
  <c r="U80" i="160"/>
  <c r="S91" i="183"/>
  <c r="T91" i="183" s="1"/>
  <c r="P103" i="183"/>
  <c r="V103" i="183"/>
  <c r="S102" i="183"/>
  <c r="S115" i="183"/>
  <c r="Y110" i="183"/>
  <c r="K69" i="186"/>
  <c r="V69" i="186"/>
  <c r="J30" i="185"/>
  <c r="J37" i="185"/>
  <c r="B61" i="186"/>
  <c r="D69" i="186"/>
  <c r="I32" i="186"/>
  <c r="F61" i="186"/>
  <c r="H69" i="186"/>
  <c r="J51" i="185"/>
  <c r="O51" i="185" s="1"/>
  <c r="R98" i="186"/>
  <c r="Y55" i="160"/>
  <c r="Y71" i="160"/>
  <c r="S91" i="160"/>
  <c r="R102" i="160"/>
  <c r="Q23" i="183"/>
  <c r="Y19" i="183"/>
  <c r="Y21" i="183"/>
  <c r="Y30" i="183"/>
  <c r="Y32" i="183"/>
  <c r="Y34" i="183"/>
  <c r="Y36" i="183"/>
  <c r="Q80" i="183"/>
  <c r="W80" i="183"/>
  <c r="S74" i="183"/>
  <c r="T74" i="183" s="1"/>
  <c r="Y112" i="183"/>
  <c r="R115" i="184"/>
  <c r="V13" i="181"/>
  <c r="AE55" i="308"/>
  <c r="AE78" i="308"/>
  <c r="H24" i="181"/>
  <c r="J73" i="183"/>
  <c r="T18" i="309"/>
  <c r="O32" i="160"/>
  <c r="U32" i="310"/>
  <c r="S69" i="185"/>
  <c r="Y69" i="185" s="1"/>
  <c r="M69" i="186"/>
  <c r="O14" i="185"/>
  <c r="J10" i="185"/>
  <c r="J32" i="185"/>
  <c r="E33" i="185"/>
  <c r="J33" i="185" s="1"/>
  <c r="J57" i="185"/>
  <c r="O82" i="185"/>
  <c r="J89" i="185"/>
  <c r="J93" i="185"/>
  <c r="E83" i="185"/>
  <c r="I107" i="185"/>
  <c r="H21" i="185"/>
  <c r="H110" i="185" s="1"/>
  <c r="C74" i="185"/>
  <c r="D74" i="185"/>
  <c r="B69" i="186"/>
  <c r="F69" i="186"/>
  <c r="S81" i="186"/>
  <c r="S93" i="186"/>
  <c r="R83" i="186"/>
  <c r="Y57" i="160"/>
  <c r="Y69" i="160"/>
  <c r="Y77" i="160"/>
  <c r="P102" i="160"/>
  <c r="S101" i="160"/>
  <c r="T101" i="160" s="1"/>
  <c r="V102" i="160"/>
  <c r="Y20" i="183"/>
  <c r="Y31" i="183"/>
  <c r="Y33" i="183"/>
  <c r="Y35" i="183"/>
  <c r="U80" i="183"/>
  <c r="Y70" i="183"/>
  <c r="Y113" i="183"/>
  <c r="Q67" i="184"/>
  <c r="P115" i="184"/>
  <c r="V115" i="184"/>
  <c r="AE22" i="308"/>
  <c r="AE42" i="308"/>
  <c r="I43" i="286"/>
  <c r="I70" i="286" s="1"/>
  <c r="M61" i="186"/>
  <c r="C61" i="186"/>
  <c r="V61" i="186"/>
  <c r="D61" i="186"/>
  <c r="H61" i="186"/>
  <c r="S35" i="186"/>
  <c r="U61" i="186"/>
  <c r="E85" i="186"/>
  <c r="G61" i="186"/>
  <c r="E67" i="186"/>
  <c r="H33" i="186"/>
  <c r="H38" i="186" s="1"/>
  <c r="I37" i="186"/>
  <c r="I57" i="186"/>
  <c r="H83" i="186"/>
  <c r="F87" i="186"/>
  <c r="S82" i="186"/>
  <c r="S83" i="186" s="1"/>
  <c r="S90" i="186"/>
  <c r="S92" i="186"/>
  <c r="T92" i="186" s="1"/>
  <c r="S103" i="186"/>
  <c r="R20" i="186"/>
  <c r="R73" i="186"/>
  <c r="I45" i="186"/>
  <c r="I46" i="186" s="1"/>
  <c r="X90" i="186"/>
  <c r="AD90" i="186" s="1"/>
  <c r="X104" i="186"/>
  <c r="E11" i="186"/>
  <c r="D15" i="186"/>
  <c r="I11" i="186"/>
  <c r="I10" i="186"/>
  <c r="E96" i="186"/>
  <c r="I17" i="186"/>
  <c r="I71" i="186"/>
  <c r="I97" i="186"/>
  <c r="S11" i="186"/>
  <c r="Q20" i="186"/>
  <c r="L33" i="186"/>
  <c r="L38" i="186" s="1"/>
  <c r="N57" i="186"/>
  <c r="O57" i="186" s="1"/>
  <c r="L87" i="186"/>
  <c r="K98" i="186"/>
  <c r="F15" i="186"/>
  <c r="S17" i="186"/>
  <c r="S91" i="186"/>
  <c r="S106" i="186"/>
  <c r="L83" i="186"/>
  <c r="X12" i="186"/>
  <c r="AD12" i="186" s="1"/>
  <c r="N56" i="186"/>
  <c r="E18" i="186"/>
  <c r="E64" i="186"/>
  <c r="E82" i="186"/>
  <c r="P15" i="186"/>
  <c r="P73" i="186"/>
  <c r="E45" i="186"/>
  <c r="E46" i="186" s="1"/>
  <c r="N92" i="186"/>
  <c r="N97" i="186"/>
  <c r="M107" i="186"/>
  <c r="K110" i="185"/>
  <c r="X72" i="186"/>
  <c r="AD72" i="186" s="1"/>
  <c r="V87" i="186"/>
  <c r="U98" i="186"/>
  <c r="X64" i="186"/>
  <c r="I15" i="185"/>
  <c r="I7" i="186"/>
  <c r="I14" i="186"/>
  <c r="C20" i="186"/>
  <c r="B54" i="186"/>
  <c r="E71" i="186"/>
  <c r="I103" i="186"/>
  <c r="S14" i="186"/>
  <c r="T13" i="185"/>
  <c r="X10" i="186"/>
  <c r="AD10" i="186" s="1"/>
  <c r="K83" i="186"/>
  <c r="N85" i="186"/>
  <c r="O85" i="186" s="1"/>
  <c r="X48" i="186"/>
  <c r="AD48" i="186" s="1"/>
  <c r="X56" i="186"/>
  <c r="V98" i="186"/>
  <c r="N51" i="186"/>
  <c r="E13" i="186"/>
  <c r="E12" i="186"/>
  <c r="E9" i="186"/>
  <c r="E8" i="186"/>
  <c r="I12" i="186"/>
  <c r="I8" i="186"/>
  <c r="D20" i="186"/>
  <c r="D21" i="186" s="1"/>
  <c r="C107" i="186"/>
  <c r="E37" i="186"/>
  <c r="D73" i="186"/>
  <c r="I19" i="186"/>
  <c r="G33" i="186"/>
  <c r="G38" i="186" s="1"/>
  <c r="I48" i="186"/>
  <c r="I52" i="186"/>
  <c r="I64" i="186"/>
  <c r="I69" i="186" s="1"/>
  <c r="H73" i="186"/>
  <c r="I82" i="186"/>
  <c r="I89" i="186"/>
  <c r="I93" i="186"/>
  <c r="G98" i="186"/>
  <c r="S49" i="186"/>
  <c r="O52" i="185"/>
  <c r="H15" i="186"/>
  <c r="S7" i="186"/>
  <c r="S53" i="186"/>
  <c r="S65" i="186"/>
  <c r="E57" i="186"/>
  <c r="N12" i="186"/>
  <c r="N11" i="186"/>
  <c r="W20" i="186"/>
  <c r="X29" i="186"/>
  <c r="AD29" i="186" s="1"/>
  <c r="X37" i="186"/>
  <c r="AD37" i="186" s="1"/>
  <c r="M33" i="186"/>
  <c r="M38" i="186" s="1"/>
  <c r="M73" i="186"/>
  <c r="N82" i="186"/>
  <c r="M87" i="186"/>
  <c r="L98" i="186"/>
  <c r="K107" i="186"/>
  <c r="X65" i="186"/>
  <c r="AD65" i="186" s="1"/>
  <c r="U73" i="186"/>
  <c r="W83" i="186"/>
  <c r="X93" i="186"/>
  <c r="AD93" i="186" s="1"/>
  <c r="N53" i="186"/>
  <c r="E19" i="186"/>
  <c r="E86" i="186"/>
  <c r="E87" i="186" s="1"/>
  <c r="D98" i="186"/>
  <c r="B83" i="186"/>
  <c r="F83" i="186"/>
  <c r="H87" i="186"/>
  <c r="Y12" i="185"/>
  <c r="Y8" i="185"/>
  <c r="E14" i="186"/>
  <c r="E10" i="186"/>
  <c r="I9" i="186"/>
  <c r="E17" i="186"/>
  <c r="J85" i="186"/>
  <c r="E103" i="186"/>
  <c r="R15" i="186"/>
  <c r="S13" i="186"/>
  <c r="S19" i="186"/>
  <c r="S31" i="186"/>
  <c r="R94" i="186"/>
  <c r="N13" i="186"/>
  <c r="T13" i="186" s="1"/>
  <c r="N10" i="186"/>
  <c r="X7" i="186"/>
  <c r="AD7" i="186" s="1"/>
  <c r="X13" i="186"/>
  <c r="AD13" i="186" s="1"/>
  <c r="M20" i="186"/>
  <c r="X18" i="186"/>
  <c r="AD18" i="186" s="1"/>
  <c r="V20" i="186"/>
  <c r="W33" i="186"/>
  <c r="W38" i="186" s="1"/>
  <c r="X30" i="186"/>
  <c r="AD30" i="186" s="1"/>
  <c r="N28" i="186"/>
  <c r="N35" i="186"/>
  <c r="N71" i="186"/>
  <c r="N72" i="186"/>
  <c r="N91" i="186"/>
  <c r="U83" i="186"/>
  <c r="X85" i="186"/>
  <c r="AD85" i="186" s="1"/>
  <c r="W87" i="186"/>
  <c r="J48" i="185"/>
  <c r="E7" i="186"/>
  <c r="E92" i="186"/>
  <c r="C98" i="186"/>
  <c r="E32" i="186"/>
  <c r="J32" i="186" s="1"/>
  <c r="E52" i="186"/>
  <c r="E72" i="186"/>
  <c r="C83" i="186"/>
  <c r="G94" i="186"/>
  <c r="I90" i="186"/>
  <c r="G107" i="186"/>
  <c r="I105" i="186"/>
  <c r="S68" i="186"/>
  <c r="AD49" i="185"/>
  <c r="X54" i="185"/>
  <c r="M15" i="186"/>
  <c r="X11" i="186"/>
  <c r="AD11" i="186" s="1"/>
  <c r="X28" i="186"/>
  <c r="AD28" i="186" s="1"/>
  <c r="V46" i="186"/>
  <c r="X45" i="186"/>
  <c r="AD45" i="186" s="1"/>
  <c r="W54" i="186"/>
  <c r="X50" i="186"/>
  <c r="AD50" i="186" s="1"/>
  <c r="X92" i="186"/>
  <c r="AD92" i="186" s="1"/>
  <c r="X103" i="186"/>
  <c r="AD103" i="186" s="1"/>
  <c r="W107" i="186"/>
  <c r="X105" i="186"/>
  <c r="AD105" i="186" s="1"/>
  <c r="X51" i="186"/>
  <c r="AD51" i="186" s="1"/>
  <c r="I13" i="186"/>
  <c r="P83" i="186"/>
  <c r="U15" i="186"/>
  <c r="L73" i="186"/>
  <c r="K73" i="186"/>
  <c r="O11" i="185"/>
  <c r="J11" i="185"/>
  <c r="J52" i="185"/>
  <c r="E68" i="186"/>
  <c r="I28" i="186"/>
  <c r="G54" i="186"/>
  <c r="I68" i="186"/>
  <c r="P20" i="186"/>
  <c r="S29" i="186"/>
  <c r="O48" i="185"/>
  <c r="N54" i="185"/>
  <c r="N74" i="185" s="1"/>
  <c r="T48" i="185"/>
  <c r="N7" i="186"/>
  <c r="K15" i="186"/>
  <c r="K54" i="186"/>
  <c r="N49" i="186"/>
  <c r="X71" i="186"/>
  <c r="V73" i="186"/>
  <c r="AD51" i="185"/>
  <c r="Y51" i="185"/>
  <c r="S85" i="186"/>
  <c r="Y85" i="186" s="1"/>
  <c r="P87" i="186"/>
  <c r="S89" i="186"/>
  <c r="P94" i="186"/>
  <c r="X15" i="185"/>
  <c r="X21" i="185" s="1"/>
  <c r="B15" i="186"/>
  <c r="J13" i="185"/>
  <c r="I96" i="186"/>
  <c r="H98" i="186"/>
  <c r="P54" i="186"/>
  <c r="S48" i="186"/>
  <c r="V54" i="186"/>
  <c r="X49" i="186"/>
  <c r="AD49" i="186" s="1"/>
  <c r="X57" i="186"/>
  <c r="AD57" i="186" s="1"/>
  <c r="X66" i="186"/>
  <c r="AD66" i="186" s="1"/>
  <c r="X67" i="186"/>
  <c r="AD67" i="186" s="1"/>
  <c r="W73" i="186"/>
  <c r="X81" i="186"/>
  <c r="AD81" i="186" s="1"/>
  <c r="V94" i="186"/>
  <c r="X91" i="186"/>
  <c r="AD91" i="186" s="1"/>
  <c r="X96" i="186"/>
  <c r="AD96" i="186" s="1"/>
  <c r="N105" i="186"/>
  <c r="N31" i="186"/>
  <c r="X31" i="186"/>
  <c r="AD31" i="186" s="1"/>
  <c r="X53" i="186"/>
  <c r="AD53" i="186" s="1"/>
  <c r="N68" i="186"/>
  <c r="D87" i="186"/>
  <c r="S86" i="186"/>
  <c r="S105" i="186"/>
  <c r="S72" i="186"/>
  <c r="Y72" i="186" s="1"/>
  <c r="R87" i="186"/>
  <c r="N14" i="186"/>
  <c r="N8" i="186"/>
  <c r="X8" i="186"/>
  <c r="AD8" i="186" s="1"/>
  <c r="N18" i="186"/>
  <c r="N19" i="186"/>
  <c r="X17" i="186"/>
  <c r="AD17" i="186" s="1"/>
  <c r="X19" i="186"/>
  <c r="AD19" i="186" s="1"/>
  <c r="V33" i="186"/>
  <c r="V38" i="186" s="1"/>
  <c r="X32" i="186"/>
  <c r="AD32" i="186" s="1"/>
  <c r="X35" i="186"/>
  <c r="AD35" i="186" s="1"/>
  <c r="N29" i="186"/>
  <c r="N30" i="186"/>
  <c r="N32" i="186"/>
  <c r="O32" i="186" s="1"/>
  <c r="N50" i="186"/>
  <c r="L54" i="186"/>
  <c r="N66" i="186"/>
  <c r="N81" i="186"/>
  <c r="T81" i="186" s="1"/>
  <c r="M83" i="186"/>
  <c r="L94" i="186"/>
  <c r="N93" i="186"/>
  <c r="O93" i="186" s="1"/>
  <c r="N96" i="186"/>
  <c r="N103" i="186"/>
  <c r="T103" i="186" s="1"/>
  <c r="B94" i="186"/>
  <c r="E29" i="186"/>
  <c r="C33" i="186"/>
  <c r="C38" i="186" s="1"/>
  <c r="E48" i="186"/>
  <c r="J48" i="186" s="1"/>
  <c r="C54" i="186"/>
  <c r="D54" i="186"/>
  <c r="E53" i="186"/>
  <c r="B73" i="186"/>
  <c r="C73" i="186"/>
  <c r="F20" i="186"/>
  <c r="G20" i="186"/>
  <c r="H20" i="186"/>
  <c r="I35" i="186"/>
  <c r="I49" i="186"/>
  <c r="I53" i="186"/>
  <c r="F73" i="186"/>
  <c r="G87" i="186"/>
  <c r="H94" i="186"/>
  <c r="I92" i="186"/>
  <c r="F98" i="186"/>
  <c r="H107" i="186"/>
  <c r="Q15" i="186"/>
  <c r="S12" i="186"/>
  <c r="S18" i="186"/>
  <c r="Y18" i="186" s="1"/>
  <c r="S30" i="186"/>
  <c r="S37" i="186"/>
  <c r="J12" i="185"/>
  <c r="E89" i="186"/>
  <c r="C94" i="186"/>
  <c r="O13" i="185"/>
  <c r="N15" i="185"/>
  <c r="S9" i="186"/>
  <c r="O49" i="185"/>
  <c r="T49" i="185"/>
  <c r="L15" i="186"/>
  <c r="N9" i="186"/>
  <c r="T9" i="186" s="1"/>
  <c r="W15" i="186"/>
  <c r="V15" i="186"/>
  <c r="N37" i="186"/>
  <c r="M54" i="186"/>
  <c r="N48" i="186"/>
  <c r="N65" i="186"/>
  <c r="K87" i="186"/>
  <c r="N86" i="186"/>
  <c r="N87" i="186" s="1"/>
  <c r="M94" i="186"/>
  <c r="N90" i="186"/>
  <c r="N104" i="186"/>
  <c r="L107" i="186"/>
  <c r="N64" i="186"/>
  <c r="G15" i="186"/>
  <c r="E50" i="186"/>
  <c r="S71" i="186"/>
  <c r="Q73" i="186"/>
  <c r="P98" i="186"/>
  <c r="S97" i="186"/>
  <c r="P107" i="186"/>
  <c r="S104" i="186"/>
  <c r="R46" i="186"/>
  <c r="S45" i="186"/>
  <c r="S46" i="186" s="1"/>
  <c r="S51" i="186"/>
  <c r="R54" i="186"/>
  <c r="S57" i="186"/>
  <c r="S67" i="186"/>
  <c r="AD104" i="186"/>
  <c r="E97" i="186"/>
  <c r="T54" i="185"/>
  <c r="T91" i="186"/>
  <c r="X52" i="186"/>
  <c r="U54" i="186"/>
  <c r="X82" i="186"/>
  <c r="V83" i="186"/>
  <c r="U94" i="186"/>
  <c r="X89" i="186"/>
  <c r="W98" i="186"/>
  <c r="X97" i="186"/>
  <c r="X106" i="186"/>
  <c r="V107" i="186"/>
  <c r="E28" i="186"/>
  <c r="B33" i="186"/>
  <c r="B38" i="186" s="1"/>
  <c r="D33" i="186"/>
  <c r="D38" i="186" s="1"/>
  <c r="E31" i="186"/>
  <c r="E65" i="186"/>
  <c r="I29" i="186"/>
  <c r="F33" i="186"/>
  <c r="F38" i="186" s="1"/>
  <c r="I65" i="186"/>
  <c r="G73" i="186"/>
  <c r="I72" i="186"/>
  <c r="F94" i="186"/>
  <c r="I91" i="186"/>
  <c r="I106" i="186"/>
  <c r="F107" i="186"/>
  <c r="Q33" i="186"/>
  <c r="Q38" i="186" s="1"/>
  <c r="S28" i="186"/>
  <c r="S56" i="186"/>
  <c r="S61" i="186" s="1"/>
  <c r="T12" i="185"/>
  <c r="O9" i="185"/>
  <c r="S15" i="185"/>
  <c r="S21" i="185" s="1"/>
  <c r="X14" i="186"/>
  <c r="X9" i="186"/>
  <c r="N17" i="186"/>
  <c r="K20" i="186"/>
  <c r="K21" i="186" s="1"/>
  <c r="L20" i="186"/>
  <c r="U20" i="186"/>
  <c r="U33" i="186"/>
  <c r="U38" i="186" s="1"/>
  <c r="K33" i="186"/>
  <c r="K38" i="186" s="1"/>
  <c r="E30" i="186"/>
  <c r="E35" i="186"/>
  <c r="E49" i="186"/>
  <c r="E56" i="186"/>
  <c r="E66" i="186"/>
  <c r="E81" i="186"/>
  <c r="D83" i="186"/>
  <c r="I18" i="186"/>
  <c r="I30" i="186"/>
  <c r="I31" i="186"/>
  <c r="H54" i="186"/>
  <c r="I50" i="186"/>
  <c r="I51" i="186"/>
  <c r="J51" i="186" s="1"/>
  <c r="I56" i="186"/>
  <c r="I66" i="186"/>
  <c r="I67" i="186"/>
  <c r="I81" i="186"/>
  <c r="I86" i="186"/>
  <c r="I104" i="186"/>
  <c r="S8" i="186"/>
  <c r="S10" i="186"/>
  <c r="S32" i="186"/>
  <c r="S50" i="186"/>
  <c r="S52" i="186"/>
  <c r="S64" i="186"/>
  <c r="S69" i="186" s="1"/>
  <c r="S66" i="186"/>
  <c r="S96" i="186"/>
  <c r="T96" i="186" s="1"/>
  <c r="Q98" i="186"/>
  <c r="Q99" i="186" s="1"/>
  <c r="R33" i="186"/>
  <c r="R38" i="186" s="1"/>
  <c r="R107" i="186"/>
  <c r="K46" i="186"/>
  <c r="N45" i="186"/>
  <c r="N46" i="186" s="1"/>
  <c r="N52" i="186"/>
  <c r="N67" i="186"/>
  <c r="N89" i="186"/>
  <c r="M98" i="186"/>
  <c r="N106" i="186"/>
  <c r="U87" i="186"/>
  <c r="X86" i="186"/>
  <c r="W94" i="186"/>
  <c r="U107" i="186"/>
  <c r="J8" i="185"/>
  <c r="O8" i="185"/>
  <c r="G83" i="186"/>
  <c r="T11" i="185"/>
  <c r="T8" i="185"/>
  <c r="F54" i="186"/>
  <c r="Y9" i="185"/>
  <c r="K94" i="186"/>
  <c r="Y53" i="185"/>
  <c r="I54" i="185"/>
  <c r="I74" i="185" s="1"/>
  <c r="J53" i="185"/>
  <c r="E93" i="186"/>
  <c r="J93" i="186" s="1"/>
  <c r="B98" i="186"/>
  <c r="D107" i="186"/>
  <c r="E104" i="186"/>
  <c r="E105" i="186"/>
  <c r="E106" i="186"/>
  <c r="M90" i="273"/>
  <c r="N73" i="273"/>
  <c r="K90" i="273"/>
  <c r="N90" i="273" s="1"/>
  <c r="H73" i="273"/>
  <c r="D73" i="273"/>
  <c r="F73" i="273"/>
  <c r="B90" i="273"/>
  <c r="G15" i="37"/>
  <c r="K15" i="37"/>
  <c r="E15" i="37"/>
  <c r="C15" i="37"/>
  <c r="Q15" i="37"/>
  <c r="I15" i="37"/>
  <c r="O15" i="37"/>
  <c r="R33" i="37"/>
  <c r="O33" i="37" s="1"/>
  <c r="G31" i="37"/>
  <c r="Q33" i="37"/>
  <c r="C33" i="37"/>
  <c r="I33" i="37"/>
  <c r="E33" i="37"/>
  <c r="G33" i="37"/>
  <c r="M33" i="37"/>
  <c r="O9" i="311"/>
  <c r="O23" i="311"/>
  <c r="O26" i="311"/>
  <c r="O38" i="311"/>
  <c r="O43" i="311"/>
  <c r="B248" i="311"/>
  <c r="B445" i="311" s="1"/>
  <c r="B452" i="311" s="1"/>
  <c r="O50" i="311"/>
  <c r="O62" i="311"/>
  <c r="O76" i="311"/>
  <c r="O80" i="311"/>
  <c r="O118" i="311"/>
  <c r="O123" i="311"/>
  <c r="O128" i="311"/>
  <c r="O135" i="311"/>
  <c r="O142" i="311"/>
  <c r="O148" i="311"/>
  <c r="O155" i="311"/>
  <c r="O162" i="311"/>
  <c r="O172" i="311"/>
  <c r="O176" i="311"/>
  <c r="O180" i="311"/>
  <c r="O193" i="311"/>
  <c r="O202" i="311"/>
  <c r="O231" i="311"/>
  <c r="O243" i="311"/>
  <c r="L445" i="311"/>
  <c r="L452" i="311" s="1"/>
  <c r="E445" i="311"/>
  <c r="E452" i="311" s="1"/>
  <c r="G445" i="311"/>
  <c r="G452" i="311" s="1"/>
  <c r="O248" i="311"/>
  <c r="O259" i="311"/>
  <c r="O265" i="311"/>
  <c r="O272" i="311"/>
  <c r="O278" i="311"/>
  <c r="O284" i="311"/>
  <c r="O291" i="311"/>
  <c r="O309" i="311"/>
  <c r="O313" i="311"/>
  <c r="O321" i="311"/>
  <c r="O325" i="311"/>
  <c r="O331" i="311"/>
  <c r="O338" i="311"/>
  <c r="O352" i="311"/>
  <c r="O359" i="311"/>
  <c r="O389" i="311"/>
  <c r="O407" i="311"/>
  <c r="O419" i="311"/>
  <c r="O425" i="311"/>
  <c r="O432" i="311"/>
  <c r="O444" i="311"/>
  <c r="R48" i="261"/>
  <c r="S48" i="261" s="1"/>
  <c r="I48" i="261"/>
  <c r="AE44" i="261"/>
  <c r="V48" i="261"/>
  <c r="AE48" i="261" s="1"/>
  <c r="AE45" i="261"/>
  <c r="T45" i="261"/>
  <c r="W45" i="261" s="1"/>
  <c r="AC44" i="261"/>
  <c r="Y44" i="261"/>
  <c r="W44" i="261"/>
  <c r="U44" i="261"/>
  <c r="Q44" i="261"/>
  <c r="S44" i="261"/>
  <c r="M48" i="261"/>
  <c r="M44" i="261"/>
  <c r="O48" i="261"/>
  <c r="O44" i="261"/>
  <c r="Q48" i="261"/>
  <c r="K44" i="261"/>
  <c r="K48" i="261"/>
  <c r="G44" i="261"/>
  <c r="I44" i="261"/>
  <c r="K47" i="39"/>
  <c r="I47" i="39"/>
  <c r="F103" i="187"/>
  <c r="H26" i="187"/>
  <c r="B78" i="187"/>
  <c r="I78" i="187"/>
  <c r="C26" i="187"/>
  <c r="J78" i="187"/>
  <c r="H78" i="187"/>
  <c r="E26" i="187"/>
  <c r="F52" i="187"/>
  <c r="I52" i="187"/>
  <c r="G52" i="187"/>
  <c r="H52" i="187"/>
  <c r="C52" i="187"/>
  <c r="J52" i="187"/>
  <c r="I26" i="187"/>
  <c r="K26" i="187"/>
  <c r="E52" i="187"/>
  <c r="J26" i="187"/>
  <c r="D103" i="187"/>
  <c r="E103" i="187"/>
  <c r="F78" i="187"/>
  <c r="C103" i="187"/>
  <c r="K52" i="187"/>
  <c r="B26" i="187"/>
  <c r="C78" i="187"/>
  <c r="K78" i="187"/>
  <c r="J103" i="187"/>
  <c r="B103" i="187"/>
  <c r="G103" i="187"/>
  <c r="F26" i="187"/>
  <c r="F47" i="39"/>
  <c r="F445" i="311"/>
  <c r="F452" i="311" s="1"/>
  <c r="J445" i="311"/>
  <c r="M445" i="311"/>
  <c r="M452" i="311" s="1"/>
  <c r="D248" i="311"/>
  <c r="D445" i="311" s="1"/>
  <c r="D452" i="311" s="1"/>
  <c r="I445" i="311"/>
  <c r="I452" i="311" s="1"/>
  <c r="F25" i="285"/>
  <c r="N25" i="285"/>
  <c r="L25" i="285"/>
  <c r="P24" i="285"/>
  <c r="H24" i="285"/>
  <c r="N24" i="285"/>
  <c r="F24" i="285"/>
  <c r="L24" i="285"/>
  <c r="D24" i="285"/>
  <c r="J24" i="285"/>
  <c r="J21" i="285"/>
  <c r="P21" i="285"/>
  <c r="H21" i="285"/>
  <c r="N21" i="285"/>
  <c r="F21" i="285"/>
  <c r="L21" i="285"/>
  <c r="D21" i="285"/>
  <c r="L22" i="285"/>
  <c r="D22" i="285"/>
  <c r="J22" i="285"/>
  <c r="P22" i="285"/>
  <c r="H22" i="285"/>
  <c r="N22" i="285"/>
  <c r="F22" i="285"/>
  <c r="N23" i="285"/>
  <c r="F23" i="285"/>
  <c r="L23" i="285"/>
  <c r="D23" i="285"/>
  <c r="J23" i="285"/>
  <c r="P23" i="285"/>
  <c r="H23" i="285"/>
  <c r="N18" i="285"/>
  <c r="H18" i="285"/>
  <c r="L18" i="285"/>
  <c r="P18" i="285"/>
  <c r="F18" i="285"/>
  <c r="J18" i="285"/>
  <c r="C30" i="284"/>
  <c r="L22" i="279"/>
  <c r="P22" i="279"/>
  <c r="H22" i="279"/>
  <c r="N22" i="279"/>
  <c r="F22" i="279"/>
  <c r="H16" i="279"/>
  <c r="N16" i="279"/>
  <c r="L16" i="279"/>
  <c r="P16" i="279"/>
  <c r="F16" i="279"/>
  <c r="J16" i="279"/>
  <c r="J10" i="279"/>
  <c r="L10" i="279"/>
  <c r="F10" i="279"/>
  <c r="P10" i="279"/>
  <c r="C30" i="278"/>
  <c r="M67" i="184"/>
  <c r="R67" i="184"/>
  <c r="U67" i="184"/>
  <c r="E21" i="184"/>
  <c r="I37" i="184"/>
  <c r="B67" i="184"/>
  <c r="H67" i="184"/>
  <c r="E33" i="184"/>
  <c r="I34" i="184"/>
  <c r="S7" i="184"/>
  <c r="S34" i="184"/>
  <c r="S54" i="184"/>
  <c r="S69" i="184"/>
  <c r="X50" i="184"/>
  <c r="AD50" i="184" s="1"/>
  <c r="X77" i="184"/>
  <c r="AD77" i="184" s="1"/>
  <c r="R52" i="184"/>
  <c r="P102" i="184"/>
  <c r="S11" i="184"/>
  <c r="S40" i="184"/>
  <c r="S73" i="184"/>
  <c r="S87" i="184"/>
  <c r="X62" i="184"/>
  <c r="V67" i="184"/>
  <c r="X108" i="184"/>
  <c r="C67" i="184"/>
  <c r="G67" i="184"/>
  <c r="K67" i="184"/>
  <c r="P67" i="184"/>
  <c r="W67" i="184"/>
  <c r="E57" i="184"/>
  <c r="E113" i="184"/>
  <c r="I9" i="184"/>
  <c r="I19" i="184"/>
  <c r="N36" i="184"/>
  <c r="N50" i="184"/>
  <c r="N56" i="184"/>
  <c r="N94" i="184"/>
  <c r="M102" i="184"/>
  <c r="N33" i="184"/>
  <c r="S14" i="184"/>
  <c r="S20" i="184"/>
  <c r="S36" i="184"/>
  <c r="S42" i="184"/>
  <c r="Q52" i="184"/>
  <c r="S71" i="184"/>
  <c r="S96" i="184"/>
  <c r="X40" i="184"/>
  <c r="AD40" i="184" s="1"/>
  <c r="X100" i="184"/>
  <c r="E37" i="184"/>
  <c r="J37" i="184" s="1"/>
  <c r="E63" i="184"/>
  <c r="E73" i="184"/>
  <c r="D91" i="184"/>
  <c r="E114" i="184"/>
  <c r="E15" i="184"/>
  <c r="E10" i="184"/>
  <c r="D22" i="184"/>
  <c r="E31" i="184"/>
  <c r="D38" i="184"/>
  <c r="D43" i="184" s="1"/>
  <c r="E40" i="184"/>
  <c r="E42" i="184"/>
  <c r="D60" i="184"/>
  <c r="C60" i="184"/>
  <c r="E59" i="184"/>
  <c r="D74" i="184"/>
  <c r="C79" i="184"/>
  <c r="E77" i="184"/>
  <c r="E95" i="184"/>
  <c r="E101" i="184"/>
  <c r="E108" i="184"/>
  <c r="E111" i="184"/>
  <c r="I15" i="184"/>
  <c r="G102" i="184"/>
  <c r="H91" i="184"/>
  <c r="I87" i="184"/>
  <c r="S109" i="184"/>
  <c r="E14" i="184"/>
  <c r="E9" i="184"/>
  <c r="E8" i="184"/>
  <c r="D52" i="184"/>
  <c r="E71" i="184"/>
  <c r="E97" i="184"/>
  <c r="E109" i="184"/>
  <c r="I32" i="184"/>
  <c r="I57" i="184"/>
  <c r="I50" i="184"/>
  <c r="F52" i="184"/>
  <c r="H102" i="184"/>
  <c r="L52" i="184"/>
  <c r="F22" i="184"/>
  <c r="I78" i="184"/>
  <c r="H79" i="184"/>
  <c r="I69" i="184"/>
  <c r="I58" i="184"/>
  <c r="H60" i="184"/>
  <c r="I94" i="184"/>
  <c r="O94" i="184" s="1"/>
  <c r="N10" i="184"/>
  <c r="N15" i="184"/>
  <c r="N37" i="184"/>
  <c r="O37" i="184" s="1"/>
  <c r="N57" i="184"/>
  <c r="N87" i="184"/>
  <c r="K98" i="184"/>
  <c r="N100" i="184"/>
  <c r="N110" i="184"/>
  <c r="N114" i="184"/>
  <c r="H38" i="184"/>
  <c r="H43" i="184" s="1"/>
  <c r="Q38" i="184"/>
  <c r="Q43" i="184" s="1"/>
  <c r="S72" i="184"/>
  <c r="R79" i="184"/>
  <c r="S78" i="184"/>
  <c r="P98" i="184"/>
  <c r="R98" i="184"/>
  <c r="S97" i="184"/>
  <c r="X93" i="184"/>
  <c r="AD93" i="184" s="1"/>
  <c r="V22" i="184"/>
  <c r="I51" i="184"/>
  <c r="I63" i="184"/>
  <c r="K38" i="184"/>
  <c r="K43" i="184" s="1"/>
  <c r="N30" i="184"/>
  <c r="N63" i="184"/>
  <c r="P52" i="184"/>
  <c r="S51" i="184"/>
  <c r="Q98" i="184"/>
  <c r="S94" i="184"/>
  <c r="C38" i="184"/>
  <c r="C43" i="184" s="1"/>
  <c r="I54" i="184"/>
  <c r="E7" i="184"/>
  <c r="C16" i="184"/>
  <c r="B38" i="184"/>
  <c r="B43" i="184" s="1"/>
  <c r="E94" i="184"/>
  <c r="B98" i="184"/>
  <c r="P79" i="184"/>
  <c r="C102" i="184"/>
  <c r="I10" i="184"/>
  <c r="I36" i="184"/>
  <c r="I40" i="184"/>
  <c r="F79" i="184"/>
  <c r="I111" i="184"/>
  <c r="K16" i="184"/>
  <c r="M38" i="184"/>
  <c r="M43" i="184" s="1"/>
  <c r="L98" i="184"/>
  <c r="I35" i="184"/>
  <c r="I33" i="184"/>
  <c r="S19" i="184"/>
  <c r="X7" i="184"/>
  <c r="AD7" i="184" s="1"/>
  <c r="X18" i="184"/>
  <c r="AD18" i="184" s="1"/>
  <c r="X19" i="184"/>
  <c r="X51" i="184"/>
  <c r="AD51" i="184" s="1"/>
  <c r="V60" i="184"/>
  <c r="X63" i="184"/>
  <c r="V74" i="184"/>
  <c r="X72" i="184"/>
  <c r="AD72" i="184" s="1"/>
  <c r="V98" i="184"/>
  <c r="X101" i="184"/>
  <c r="P22" i="184"/>
  <c r="E30" i="184"/>
  <c r="C52" i="184"/>
  <c r="E50" i="184"/>
  <c r="J50" i="184" s="1"/>
  <c r="E93" i="184"/>
  <c r="C98" i="184"/>
  <c r="X109" i="184"/>
  <c r="AD109" i="184" s="1"/>
  <c r="I14" i="184"/>
  <c r="I8" i="184"/>
  <c r="I7" i="184"/>
  <c r="I20" i="184"/>
  <c r="I31" i="184"/>
  <c r="G79" i="184"/>
  <c r="I77" i="184"/>
  <c r="H74" i="184"/>
  <c r="I62" i="184"/>
  <c r="I59" i="184"/>
  <c r="G60" i="184"/>
  <c r="I55" i="184"/>
  <c r="J55" i="184" s="1"/>
  <c r="G52" i="184"/>
  <c r="I100" i="184"/>
  <c r="G98" i="184"/>
  <c r="I95" i="184"/>
  <c r="I90" i="184"/>
  <c r="F91" i="184"/>
  <c r="I114" i="184"/>
  <c r="J114" i="184" s="1"/>
  <c r="I113" i="184"/>
  <c r="I112" i="184"/>
  <c r="E19" i="184"/>
  <c r="N7" i="184"/>
  <c r="T7" i="184" s="1"/>
  <c r="N8" i="184"/>
  <c r="M16" i="184"/>
  <c r="N11" i="184"/>
  <c r="T11" i="184" s="1"/>
  <c r="N12" i="184"/>
  <c r="N14" i="184"/>
  <c r="K22" i="184"/>
  <c r="N21" i="184"/>
  <c r="N31" i="184"/>
  <c r="N40" i="184"/>
  <c r="N42" i="184"/>
  <c r="M52" i="184"/>
  <c r="N54" i="184"/>
  <c r="L60" i="184"/>
  <c r="N58" i="184"/>
  <c r="N59" i="184"/>
  <c r="N62" i="184"/>
  <c r="N67" i="184" s="1"/>
  <c r="K74" i="184"/>
  <c r="L74" i="184"/>
  <c r="N77" i="184"/>
  <c r="N78" i="184"/>
  <c r="L91" i="184"/>
  <c r="M98" i="184"/>
  <c r="M103" i="184" s="1"/>
  <c r="N95" i="184"/>
  <c r="N96" i="184"/>
  <c r="T96" i="184" s="1"/>
  <c r="N97" i="184"/>
  <c r="N111" i="184"/>
  <c r="N112" i="184"/>
  <c r="E35" i="184"/>
  <c r="N35" i="184"/>
  <c r="E72" i="184"/>
  <c r="N72" i="184"/>
  <c r="T72" i="184" s="1"/>
  <c r="I72" i="184"/>
  <c r="S100" i="184"/>
  <c r="Y100" i="184" s="1"/>
  <c r="Q102" i="184"/>
  <c r="E36" i="184"/>
  <c r="W79" i="184"/>
  <c r="X76" i="184"/>
  <c r="AD76" i="184" s="1"/>
  <c r="I42" i="184"/>
  <c r="I110" i="184"/>
  <c r="M79" i="184"/>
  <c r="F16" i="184"/>
  <c r="F23" i="184" s="1"/>
  <c r="F60" i="184"/>
  <c r="N69" i="184"/>
  <c r="S101" i="184"/>
  <c r="Y101" i="184" s="1"/>
  <c r="X94" i="184"/>
  <c r="AD94" i="184" s="1"/>
  <c r="E90" i="184"/>
  <c r="B22" i="184"/>
  <c r="L79" i="184"/>
  <c r="H22" i="184"/>
  <c r="G91" i="184"/>
  <c r="E12" i="184"/>
  <c r="B16" i="184"/>
  <c r="E32" i="184"/>
  <c r="E58" i="184"/>
  <c r="B74" i="184"/>
  <c r="E112" i="184"/>
  <c r="K60" i="184"/>
  <c r="B52" i="184"/>
  <c r="E51" i="184"/>
  <c r="E89" i="184"/>
  <c r="C91" i="184"/>
  <c r="B102" i="184"/>
  <c r="E100" i="184"/>
  <c r="G22" i="184"/>
  <c r="I18" i="184"/>
  <c r="F38" i="184"/>
  <c r="F43" i="184" s="1"/>
  <c r="I30" i="184"/>
  <c r="I71" i="184"/>
  <c r="G74" i="184"/>
  <c r="F74" i="184"/>
  <c r="H98" i="184"/>
  <c r="I108" i="184"/>
  <c r="L22" i="184"/>
  <c r="N20" i="184"/>
  <c r="L38" i="184"/>
  <c r="L43" i="184" s="1"/>
  <c r="N32" i="184"/>
  <c r="M74" i="184"/>
  <c r="N71" i="184"/>
  <c r="N76" i="184"/>
  <c r="K79" i="184"/>
  <c r="K91" i="184"/>
  <c r="N89" i="184"/>
  <c r="N108" i="184"/>
  <c r="S108" i="184"/>
  <c r="E76" i="184"/>
  <c r="I89" i="184"/>
  <c r="S93" i="184"/>
  <c r="S63" i="184"/>
  <c r="X69" i="184"/>
  <c r="AD69" i="184" s="1"/>
  <c r="N109" i="184"/>
  <c r="G16" i="184"/>
  <c r="I73" i="184"/>
  <c r="F102" i="184"/>
  <c r="P38" i="184"/>
  <c r="P43" i="184" s="1"/>
  <c r="S76" i="184"/>
  <c r="S89" i="184"/>
  <c r="S95" i="184"/>
  <c r="H16" i="184"/>
  <c r="I21" i="184"/>
  <c r="G38" i="184"/>
  <c r="G43" i="184" s="1"/>
  <c r="I76" i="184"/>
  <c r="H52" i="184"/>
  <c r="I101" i="184"/>
  <c r="I102" i="184" s="1"/>
  <c r="F98" i="184"/>
  <c r="N9" i="184"/>
  <c r="O9" i="184" s="1"/>
  <c r="N113" i="184"/>
  <c r="S9" i="184"/>
  <c r="R38" i="184"/>
  <c r="R43" i="184" s="1"/>
  <c r="S32" i="184"/>
  <c r="S50" i="184"/>
  <c r="R74" i="184"/>
  <c r="S77" i="184"/>
  <c r="T77" i="184" s="1"/>
  <c r="S90" i="184"/>
  <c r="X78" i="184"/>
  <c r="AD78" i="184" s="1"/>
  <c r="X90" i="184"/>
  <c r="AD90" i="184" s="1"/>
  <c r="E11" i="184"/>
  <c r="E62" i="184"/>
  <c r="E67" i="184" s="1"/>
  <c r="D79" i="184"/>
  <c r="E78" i="184"/>
  <c r="D102" i="184"/>
  <c r="I12" i="184"/>
  <c r="I56" i="184"/>
  <c r="I97" i="184"/>
  <c r="I96" i="184"/>
  <c r="I93" i="184"/>
  <c r="I109" i="184"/>
  <c r="J109" i="184" s="1"/>
  <c r="N51" i="184"/>
  <c r="K52" i="184"/>
  <c r="M60" i="184"/>
  <c r="N19" i="184"/>
  <c r="X30" i="184"/>
  <c r="AD30" i="184" s="1"/>
  <c r="X54" i="184"/>
  <c r="AD54" i="184" s="1"/>
  <c r="V91" i="184"/>
  <c r="X89" i="184"/>
  <c r="AD89" i="184" s="1"/>
  <c r="X114" i="184"/>
  <c r="AD114" i="184" s="1"/>
  <c r="B79" i="184"/>
  <c r="N73" i="184"/>
  <c r="T73" i="184" s="1"/>
  <c r="S15" i="184"/>
  <c r="Q22" i="184"/>
  <c r="S21" i="184"/>
  <c r="Q91" i="184"/>
  <c r="R102" i="184"/>
  <c r="S113" i="184"/>
  <c r="W16" i="184"/>
  <c r="X9" i="184"/>
  <c r="AD9" i="184" s="1"/>
  <c r="W22" i="184"/>
  <c r="X31" i="184"/>
  <c r="AD31" i="184" s="1"/>
  <c r="X35" i="184"/>
  <c r="AD35" i="184" s="1"/>
  <c r="X42" i="184"/>
  <c r="AD42" i="184" s="1"/>
  <c r="V52" i="184"/>
  <c r="X55" i="184"/>
  <c r="AD55" i="184" s="1"/>
  <c r="X59" i="184"/>
  <c r="AD59" i="184" s="1"/>
  <c r="U79" i="184"/>
  <c r="I122" i="273"/>
  <c r="Z111" i="308"/>
  <c r="I29" i="37"/>
  <c r="J34" i="159"/>
  <c r="AD100" i="184"/>
  <c r="AD19" i="184"/>
  <c r="J26" i="234"/>
  <c r="I80" i="183"/>
  <c r="O79" i="183"/>
  <c r="J71" i="161"/>
  <c r="J110" i="183"/>
  <c r="E115" i="183"/>
  <c r="D16" i="184"/>
  <c r="C22" i="184"/>
  <c r="E18" i="184"/>
  <c r="E56" i="184"/>
  <c r="B60" i="184"/>
  <c r="C74" i="184"/>
  <c r="E69" i="184"/>
  <c r="E96" i="184"/>
  <c r="D98" i="184"/>
  <c r="E110" i="184"/>
  <c r="F115" i="273"/>
  <c r="J29" i="273"/>
  <c r="I21" i="185"/>
  <c r="E103" i="183"/>
  <c r="O79" i="160"/>
  <c r="C31" i="37"/>
  <c r="M31" i="37"/>
  <c r="K31" i="37"/>
  <c r="O31" i="37"/>
  <c r="I31" i="37"/>
  <c r="Q31" i="37"/>
  <c r="D80" i="183"/>
  <c r="D118" i="183" s="1"/>
  <c r="H29" i="273"/>
  <c r="L90" i="273"/>
  <c r="AC85" i="308"/>
  <c r="Q29" i="37"/>
  <c r="Z138" i="274"/>
  <c r="AE131" i="274"/>
  <c r="O13" i="161"/>
  <c r="N79" i="161"/>
  <c r="Y54" i="161"/>
  <c r="H26" i="234"/>
  <c r="J83" i="185"/>
  <c r="Y83" i="185"/>
  <c r="E23" i="183"/>
  <c r="J112" i="161"/>
  <c r="O112" i="161"/>
  <c r="F97" i="159"/>
  <c r="D97" i="159"/>
  <c r="H96" i="159"/>
  <c r="E97" i="159"/>
  <c r="H97" i="159" s="1"/>
  <c r="U57" i="274"/>
  <c r="S57" i="274"/>
  <c r="E20" i="184"/>
  <c r="G53" i="29"/>
  <c r="E129" i="159"/>
  <c r="H129" i="159" s="1"/>
  <c r="K104" i="274"/>
  <c r="I104" i="274"/>
  <c r="O104" i="274"/>
  <c r="Q104" i="274"/>
  <c r="S98" i="185"/>
  <c r="T97" i="185"/>
  <c r="O110" i="160"/>
  <c r="J110" i="160"/>
  <c r="I114" i="160"/>
  <c r="J114" i="160" s="1"/>
  <c r="O99" i="160"/>
  <c r="J99" i="160"/>
  <c r="O94" i="160"/>
  <c r="J94" i="160"/>
  <c r="I97" i="160"/>
  <c r="O87" i="160"/>
  <c r="J87" i="160"/>
  <c r="J65" i="160"/>
  <c r="O65" i="160"/>
  <c r="O13" i="160"/>
  <c r="I15" i="160"/>
  <c r="H21" i="161"/>
  <c r="H22" i="161" s="1"/>
  <c r="I19" i="161"/>
  <c r="O19" i="161" s="1"/>
  <c r="F37" i="161"/>
  <c r="F42" i="161" s="1"/>
  <c r="I29" i="161"/>
  <c r="O29" i="161" s="1"/>
  <c r="H66" i="161"/>
  <c r="H80" i="161" s="1"/>
  <c r="I61" i="161"/>
  <c r="F59" i="161"/>
  <c r="F80" i="161" s="1"/>
  <c r="G97" i="161"/>
  <c r="I96" i="161"/>
  <c r="J96" i="161" s="1"/>
  <c r="F97" i="161"/>
  <c r="I95" i="161"/>
  <c r="I90" i="161"/>
  <c r="G91" i="161"/>
  <c r="F91" i="161"/>
  <c r="F102" i="161" s="1"/>
  <c r="F117" i="161" s="1"/>
  <c r="I89" i="161"/>
  <c r="M52" i="161"/>
  <c r="N51" i="161"/>
  <c r="T51" i="161" s="1"/>
  <c r="N55" i="161"/>
  <c r="O55" i="161" s="1"/>
  <c r="K59" i="161"/>
  <c r="K66" i="161"/>
  <c r="N61" i="161"/>
  <c r="K97" i="161"/>
  <c r="K102" i="161" s="1"/>
  <c r="N93" i="161"/>
  <c r="N101" i="161"/>
  <c r="O101" i="161" s="1"/>
  <c r="L114" i="161"/>
  <c r="N110" i="161"/>
  <c r="O110" i="161" s="1"/>
  <c r="O111" i="161"/>
  <c r="J90" i="161"/>
  <c r="J101" i="160"/>
  <c r="R27" i="37"/>
  <c r="M73" i="274"/>
  <c r="H88" i="274"/>
  <c r="H105" i="274" s="1"/>
  <c r="H42" i="161"/>
  <c r="D78" i="187"/>
  <c r="E78" i="187"/>
  <c r="F13" i="159"/>
  <c r="C122" i="159"/>
  <c r="D121" i="159"/>
  <c r="K28" i="274"/>
  <c r="M28" i="274"/>
  <c r="I24" i="274"/>
  <c r="K24" i="274"/>
  <c r="O24" i="274"/>
  <c r="L22" i="274"/>
  <c r="M18" i="274"/>
  <c r="U87" i="274"/>
  <c r="S87" i="274"/>
  <c r="W18" i="274"/>
  <c r="O18" i="274"/>
  <c r="Q18" i="274"/>
  <c r="S46" i="308"/>
  <c r="N101" i="184"/>
  <c r="K102" i="184"/>
  <c r="M22" i="184"/>
  <c r="M23" i="184" s="1"/>
  <c r="J42" i="274"/>
  <c r="O39" i="274"/>
  <c r="Q39" i="274"/>
  <c r="K39" i="274"/>
  <c r="S39" i="274"/>
  <c r="J88" i="274"/>
  <c r="M88" i="274" s="1"/>
  <c r="S73" i="274"/>
  <c r="J130" i="274"/>
  <c r="O122" i="274"/>
  <c r="Q122" i="274"/>
  <c r="K122" i="274"/>
  <c r="S122" i="274"/>
  <c r="P35" i="274"/>
  <c r="Q28" i="274"/>
  <c r="S28" i="274"/>
  <c r="S34" i="274"/>
  <c r="O96" i="161"/>
  <c r="N21" i="161"/>
  <c r="N22" i="161" s="1"/>
  <c r="J37" i="160"/>
  <c r="J41" i="161"/>
  <c r="O102" i="183"/>
  <c r="N18" i="184"/>
  <c r="N55" i="184"/>
  <c r="N90" i="184"/>
  <c r="N91" i="184" s="1"/>
  <c r="F29" i="273"/>
  <c r="T57" i="185"/>
  <c r="D22" i="160"/>
  <c r="J15" i="33"/>
  <c r="D52" i="187"/>
  <c r="D26" i="187"/>
  <c r="D47" i="39"/>
  <c r="D54" i="159"/>
  <c r="E90" i="273"/>
  <c r="F90" i="273" s="1"/>
  <c r="H89" i="273"/>
  <c r="C55" i="273"/>
  <c r="C122" i="273" s="1"/>
  <c r="Y7" i="185"/>
  <c r="G91" i="274"/>
  <c r="F97" i="274"/>
  <c r="I97" i="274" s="1"/>
  <c r="I91" i="274"/>
  <c r="M91" i="274"/>
  <c r="I56" i="274"/>
  <c r="K56" i="274"/>
  <c r="K13" i="274"/>
  <c r="W16" i="274"/>
  <c r="Q16" i="274"/>
  <c r="N22" i="274"/>
  <c r="S16" i="274"/>
  <c r="J7" i="161"/>
  <c r="C22" i="160"/>
  <c r="C117" i="160" s="1"/>
  <c r="O7" i="185"/>
  <c r="T7" i="185"/>
  <c r="O104" i="185"/>
  <c r="T104" i="185"/>
  <c r="J56" i="160"/>
  <c r="O56" i="160"/>
  <c r="B55" i="273"/>
  <c r="D55" i="273" s="1"/>
  <c r="I87" i="274"/>
  <c r="K87" i="274"/>
  <c r="C66" i="274"/>
  <c r="K52" i="274"/>
  <c r="F48" i="274"/>
  <c r="F66" i="274" s="1"/>
  <c r="G44" i="274"/>
  <c r="O44" i="274"/>
  <c r="I44" i="274"/>
  <c r="K44" i="274"/>
  <c r="Z7" i="239"/>
  <c r="G13" i="239"/>
  <c r="J7" i="185"/>
  <c r="E15" i="185"/>
  <c r="J15" i="185" s="1"/>
  <c r="E20" i="185"/>
  <c r="J20" i="185" s="1"/>
  <c r="J17" i="185"/>
  <c r="J13" i="160"/>
  <c r="C21" i="161"/>
  <c r="C22" i="161" s="1"/>
  <c r="E55" i="161"/>
  <c r="D66" i="161"/>
  <c r="D80" i="161" s="1"/>
  <c r="E99" i="161"/>
  <c r="J58" i="183"/>
  <c r="J93" i="183"/>
  <c r="O113" i="160"/>
  <c r="O100" i="160"/>
  <c r="T61" i="160"/>
  <c r="N66" i="160"/>
  <c r="T13" i="27"/>
  <c r="O63" i="183"/>
  <c r="N67" i="183"/>
  <c r="D89" i="273"/>
  <c r="L35" i="273"/>
  <c r="L8" i="273"/>
  <c r="Y14" i="185"/>
  <c r="Y10" i="185"/>
  <c r="Y19" i="185"/>
  <c r="Y85" i="185"/>
  <c r="C105" i="274"/>
  <c r="C138" i="274" s="1"/>
  <c r="G93" i="274"/>
  <c r="O17" i="274"/>
  <c r="S15" i="274"/>
  <c r="H48" i="274"/>
  <c r="J35" i="274"/>
  <c r="L88" i="274"/>
  <c r="G80" i="160"/>
  <c r="M22" i="308"/>
  <c r="O28" i="308"/>
  <c r="M51" i="308"/>
  <c r="J61" i="185"/>
  <c r="J82" i="185"/>
  <c r="Y64" i="185"/>
  <c r="T64" i="185"/>
  <c r="J17" i="160"/>
  <c r="D21" i="161"/>
  <c r="D22" i="161" s="1"/>
  <c r="E31" i="161"/>
  <c r="J62" i="183"/>
  <c r="G26" i="187"/>
  <c r="T114" i="183"/>
  <c r="N93" i="184"/>
  <c r="N17" i="273"/>
  <c r="Y13" i="185"/>
  <c r="Y18" i="185"/>
  <c r="Y28" i="185"/>
  <c r="D35" i="274"/>
  <c r="G22" i="274"/>
  <c r="I18" i="308"/>
  <c r="Q18" i="308"/>
  <c r="B29" i="308"/>
  <c r="G22" i="308"/>
  <c r="F110" i="308"/>
  <c r="I110" i="308" s="1"/>
  <c r="M96" i="308"/>
  <c r="I9" i="308"/>
  <c r="T110" i="308"/>
  <c r="AA110" i="308" s="1"/>
  <c r="U109" i="308"/>
  <c r="W109" i="308"/>
  <c r="S35" i="308"/>
  <c r="Q35" i="308"/>
  <c r="O35" i="308"/>
  <c r="W35" i="308"/>
  <c r="F42" i="196"/>
  <c r="C46" i="196"/>
  <c r="F21" i="185"/>
  <c r="F110" i="185" s="1"/>
  <c r="J11" i="160"/>
  <c r="B66" i="161"/>
  <c r="B80" i="161" s="1"/>
  <c r="B117" i="161" s="1"/>
  <c r="E38" i="183"/>
  <c r="B91" i="184"/>
  <c r="O61" i="160"/>
  <c r="I66" i="160"/>
  <c r="O9" i="160"/>
  <c r="K37" i="161"/>
  <c r="K42" i="161" s="1"/>
  <c r="F54" i="159"/>
  <c r="F33" i="159"/>
  <c r="N115" i="183"/>
  <c r="T115" i="183" s="1"/>
  <c r="H50" i="273"/>
  <c r="L101" i="273"/>
  <c r="O17" i="185"/>
  <c r="E105" i="274"/>
  <c r="E138" i="274" s="1"/>
  <c r="O52" i="274"/>
  <c r="K34" i="274"/>
  <c r="P131" i="274"/>
  <c r="Q51" i="308"/>
  <c r="Q55" i="308"/>
  <c r="C85" i="308"/>
  <c r="Q84" i="308"/>
  <c r="J29" i="185"/>
  <c r="J35" i="185"/>
  <c r="E38" i="185"/>
  <c r="J50" i="185"/>
  <c r="O50" i="185" s="1"/>
  <c r="E54" i="185"/>
  <c r="J69" i="185"/>
  <c r="J67" i="185"/>
  <c r="E98" i="185"/>
  <c r="J96" i="185"/>
  <c r="J105" i="185"/>
  <c r="E107" i="185"/>
  <c r="J107" i="185" s="1"/>
  <c r="J93" i="196"/>
  <c r="O53" i="185"/>
  <c r="K18" i="308"/>
  <c r="S18" i="308"/>
  <c r="P29" i="308"/>
  <c r="H29" i="308"/>
  <c r="G42" i="308"/>
  <c r="G46" i="308"/>
  <c r="U46" i="308"/>
  <c r="S51" i="308"/>
  <c r="S55" i="308"/>
  <c r="U78" i="308"/>
  <c r="S84" i="308"/>
  <c r="W18" i="308"/>
  <c r="W46" i="308"/>
  <c r="W78" i="308"/>
  <c r="B110" i="308"/>
  <c r="B111" i="308" s="1"/>
  <c r="T13" i="181"/>
  <c r="B26" i="234"/>
  <c r="D26" i="234" s="1"/>
  <c r="D56" i="159"/>
  <c r="B62" i="159"/>
  <c r="O105" i="185"/>
  <c r="I63" i="159"/>
  <c r="L49" i="159"/>
  <c r="M18" i="308"/>
  <c r="U18" i="308"/>
  <c r="C29" i="308"/>
  <c r="J29" i="308"/>
  <c r="S28" i="308"/>
  <c r="C56" i="308"/>
  <c r="R56" i="308"/>
  <c r="O46" i="308"/>
  <c r="G51" i="308"/>
  <c r="W51" i="308"/>
  <c r="U55" i="308"/>
  <c r="O78" i="308"/>
  <c r="U84" i="308"/>
  <c r="W96" i="308"/>
  <c r="U9" i="308"/>
  <c r="D26" i="181"/>
  <c r="K34" i="309"/>
  <c r="O34" i="309"/>
  <c r="S34" i="309"/>
  <c r="J33" i="160"/>
  <c r="J9" i="185"/>
  <c r="B74" i="185"/>
  <c r="J68" i="185"/>
  <c r="D99" i="185"/>
  <c r="C15" i="186"/>
  <c r="B20" i="186"/>
  <c r="B21" i="186" s="1"/>
  <c r="B87" i="186"/>
  <c r="E90" i="186"/>
  <c r="E91" i="186"/>
  <c r="I115" i="183"/>
  <c r="O115" i="183" s="1"/>
  <c r="E22" i="307"/>
  <c r="G18" i="308"/>
  <c r="O18" i="308"/>
  <c r="D29" i="308"/>
  <c r="D111" i="308" s="1"/>
  <c r="T29" i="308"/>
  <c r="AC29" i="308" s="1"/>
  <c r="H56" i="308"/>
  <c r="Q46" i="308"/>
  <c r="O51" i="308"/>
  <c r="F56" i="308"/>
  <c r="O55" i="308"/>
  <c r="H85" i="308"/>
  <c r="P85" i="308"/>
  <c r="U85" i="308" s="1"/>
  <c r="Q78" i="308"/>
  <c r="O84" i="308"/>
  <c r="G96" i="308"/>
  <c r="E110" i="308"/>
  <c r="L110" i="308"/>
  <c r="Q110" i="308" s="1"/>
  <c r="U96" i="308"/>
  <c r="X68" i="186"/>
  <c r="C87" i="186"/>
  <c r="B107" i="186"/>
  <c r="H445" i="311"/>
  <c r="H452" i="311" s="1"/>
  <c r="K445" i="311"/>
  <c r="K452" i="311" s="1"/>
  <c r="Y61" i="160"/>
  <c r="S66" i="160"/>
  <c r="S80" i="160" s="1"/>
  <c r="R80" i="160"/>
  <c r="AD61" i="160"/>
  <c r="X66" i="160"/>
  <c r="AD66" i="160" s="1"/>
  <c r="X52" i="183"/>
  <c r="AD51" i="183"/>
  <c r="X60" i="183"/>
  <c r="AD60" i="183" s="1"/>
  <c r="AD54" i="183"/>
  <c r="AD87" i="183"/>
  <c r="S12" i="184"/>
  <c r="AE22" i="274"/>
  <c r="AE130" i="274"/>
  <c r="C445" i="311"/>
  <c r="C452" i="311" s="1"/>
  <c r="R66" i="161"/>
  <c r="W66" i="161"/>
  <c r="S13" i="161"/>
  <c r="Y7" i="183"/>
  <c r="Y9" i="183"/>
  <c r="Y11" i="183"/>
  <c r="Y14" i="183"/>
  <c r="P23" i="183"/>
  <c r="P118" i="183" s="1"/>
  <c r="Y40" i="183"/>
  <c r="Y50" i="183"/>
  <c r="P80" i="183"/>
  <c r="V80" i="183"/>
  <c r="Y55" i="183"/>
  <c r="X67" i="183"/>
  <c r="AD62" i="183"/>
  <c r="X74" i="183"/>
  <c r="AD69" i="183"/>
  <c r="Y97" i="183"/>
  <c r="X102" i="183"/>
  <c r="AD101" i="183"/>
  <c r="X115" i="183"/>
  <c r="AD108" i="183"/>
  <c r="AE28" i="274"/>
  <c r="AE52" i="274"/>
  <c r="AE57" i="274"/>
  <c r="AE97" i="274"/>
  <c r="AE137" i="274"/>
  <c r="S73" i="160"/>
  <c r="T73" i="160" s="1"/>
  <c r="X16" i="183"/>
  <c r="AD16" i="183" s="1"/>
  <c r="AD7" i="183"/>
  <c r="S79" i="183"/>
  <c r="Y78" i="183"/>
  <c r="X91" i="183"/>
  <c r="AD89" i="183"/>
  <c r="Y96" i="183"/>
  <c r="P74" i="184"/>
  <c r="Q79" i="184"/>
  <c r="U16" i="184"/>
  <c r="X11" i="184"/>
  <c r="AD11" i="184" s="1"/>
  <c r="X21" i="184"/>
  <c r="AD21" i="184" s="1"/>
  <c r="V38" i="184"/>
  <c r="V43" i="184" s="1"/>
  <c r="X33" i="184"/>
  <c r="AD33" i="184" s="1"/>
  <c r="X37" i="184"/>
  <c r="AD37" i="184" s="1"/>
  <c r="X57" i="184"/>
  <c r="AD57" i="184" s="1"/>
  <c r="AE13" i="274"/>
  <c r="AE34" i="274"/>
  <c r="J50" i="29"/>
  <c r="M49" i="29"/>
  <c r="S59" i="160"/>
  <c r="T59" i="160" s="1"/>
  <c r="S79" i="160"/>
  <c r="T79" i="160" s="1"/>
  <c r="W22" i="160"/>
  <c r="P66" i="161"/>
  <c r="U66" i="161"/>
  <c r="S7" i="161"/>
  <c r="T7" i="161" s="1"/>
  <c r="E66" i="160"/>
  <c r="E80" i="160" s="1"/>
  <c r="Y8" i="183"/>
  <c r="Y10" i="183"/>
  <c r="Y12" i="183"/>
  <c r="Y15" i="183"/>
  <c r="R23" i="183"/>
  <c r="R118" i="183" s="1"/>
  <c r="S22" i="183"/>
  <c r="Y22" i="183" s="1"/>
  <c r="X38" i="183"/>
  <c r="AD30" i="183"/>
  <c r="S60" i="183"/>
  <c r="Y59" i="183"/>
  <c r="Y62" i="183"/>
  <c r="Y72" i="183"/>
  <c r="X79" i="183"/>
  <c r="AD79" i="183" s="1"/>
  <c r="AD76" i="183"/>
  <c r="Y90" i="183"/>
  <c r="X98" i="183"/>
  <c r="Y111" i="183"/>
  <c r="AE42" i="274"/>
  <c r="AE104" i="274"/>
  <c r="AE115" i="274"/>
  <c r="E34" i="184"/>
  <c r="J34" i="184" s="1"/>
  <c r="N34" i="184"/>
  <c r="X111" i="184"/>
  <c r="AD111" i="184" s="1"/>
  <c r="X113" i="184"/>
  <c r="W102" i="184"/>
  <c r="E87" i="184"/>
  <c r="W23" i="183"/>
  <c r="V23" i="183"/>
  <c r="U23" i="183"/>
  <c r="U118" i="183" s="1"/>
  <c r="P16" i="184"/>
  <c r="R16" i="184"/>
  <c r="S35" i="184"/>
  <c r="S37" i="184"/>
  <c r="Q60" i="184"/>
  <c r="S55" i="184"/>
  <c r="S57" i="184"/>
  <c r="S59" i="184"/>
  <c r="V16" i="184"/>
  <c r="X8" i="184"/>
  <c r="AD8" i="184" s="1"/>
  <c r="X10" i="184"/>
  <c r="AD10" i="184" s="1"/>
  <c r="X12" i="184"/>
  <c r="X15" i="184"/>
  <c r="X20" i="184"/>
  <c r="U38" i="184"/>
  <c r="U43" i="184" s="1"/>
  <c r="W38" i="184"/>
  <c r="W43" i="184" s="1"/>
  <c r="X32" i="184"/>
  <c r="AD32" i="184" s="1"/>
  <c r="X34" i="184"/>
  <c r="AD34" i="184" s="1"/>
  <c r="X36" i="184"/>
  <c r="AD36" i="184" s="1"/>
  <c r="U74" i="184"/>
  <c r="V79" i="184"/>
  <c r="U91" i="184"/>
  <c r="W98" i="184"/>
  <c r="X95" i="184"/>
  <c r="X97" i="184"/>
  <c r="V102" i="184"/>
  <c r="H102" i="196"/>
  <c r="J46" i="196"/>
  <c r="G66" i="196"/>
  <c r="G132" i="196" s="1"/>
  <c r="H57" i="196"/>
  <c r="H125" i="196"/>
  <c r="F125" i="196"/>
  <c r="F46" i="196"/>
  <c r="H46" i="196"/>
  <c r="E66" i="196"/>
  <c r="I33" i="196"/>
  <c r="L33" i="196" s="1"/>
  <c r="L125" i="196"/>
  <c r="L57" i="196"/>
  <c r="J65" i="196"/>
  <c r="K33" i="310"/>
  <c r="K34" i="310" s="1"/>
  <c r="J33" i="310"/>
  <c r="K19" i="310"/>
  <c r="J19" i="310"/>
  <c r="U14" i="310"/>
  <c r="T9" i="310"/>
  <c r="T14" i="310" s="1"/>
  <c r="Q33" i="310"/>
  <c r="P33" i="310"/>
  <c r="Q19" i="310"/>
  <c r="P19" i="310"/>
  <c r="O33" i="310"/>
  <c r="N33" i="310"/>
  <c r="O19" i="310"/>
  <c r="N19" i="310"/>
  <c r="C33" i="310"/>
  <c r="B33" i="310"/>
  <c r="V22" i="310"/>
  <c r="C19" i="310"/>
  <c r="B19" i="310"/>
  <c r="E33" i="310"/>
  <c r="D33" i="310"/>
  <c r="E19" i="310"/>
  <c r="D19" i="310"/>
  <c r="I33" i="310"/>
  <c r="H19" i="310"/>
  <c r="H34" i="310" s="1"/>
  <c r="I19" i="310"/>
  <c r="H33" i="310"/>
  <c r="F33" i="310"/>
  <c r="G33" i="310"/>
  <c r="G34" i="310" s="1"/>
  <c r="G19" i="310"/>
  <c r="F19" i="310"/>
  <c r="V31" i="310"/>
  <c r="V30" i="310"/>
  <c r="T32" i="310"/>
  <c r="V27" i="310"/>
  <c r="V25" i="310"/>
  <c r="V26" i="310"/>
  <c r="V17" i="310"/>
  <c r="V16" i="310"/>
  <c r="M19" i="310"/>
  <c r="M34" i="310" s="1"/>
  <c r="T18" i="310"/>
  <c r="V18" i="310" s="1"/>
  <c r="V13" i="310"/>
  <c r="V12" i="310"/>
  <c r="V11" i="310"/>
  <c r="V10" i="310"/>
  <c r="V7" i="310"/>
  <c r="AE105" i="274"/>
  <c r="AA88" i="274"/>
  <c r="Y105" i="274"/>
  <c r="AC105" i="274"/>
  <c r="N105" i="274"/>
  <c r="W105" i="274" s="1"/>
  <c r="I88" i="274"/>
  <c r="G88" i="274"/>
  <c r="B105" i="274"/>
  <c r="I65" i="274"/>
  <c r="AB138" i="274"/>
  <c r="AC66" i="274"/>
  <c r="V138" i="274"/>
  <c r="AE66" i="274"/>
  <c r="P138" i="274"/>
  <c r="J97" i="159"/>
  <c r="L97" i="159"/>
  <c r="D15" i="122"/>
  <c r="E13" i="122" s="1"/>
  <c r="V29" i="310"/>
  <c r="V24" i="310"/>
  <c r="U28" i="310"/>
  <c r="V28" i="310" s="1"/>
  <c r="V23" i="310"/>
  <c r="L34" i="310"/>
  <c r="V8" i="310"/>
  <c r="U32" i="309"/>
  <c r="V23" i="309"/>
  <c r="I33" i="309"/>
  <c r="I34" i="309" s="1"/>
  <c r="H33" i="309"/>
  <c r="H34" i="309" s="1"/>
  <c r="G33" i="309"/>
  <c r="G34" i="309" s="1"/>
  <c r="F33" i="309"/>
  <c r="V8" i="309"/>
  <c r="T19" i="309"/>
  <c r="V19" i="309" s="1"/>
  <c r="B34" i="309"/>
  <c r="V27" i="309"/>
  <c r="V25" i="309"/>
  <c r="V26" i="309"/>
  <c r="M33" i="309"/>
  <c r="M34" i="309" s="1"/>
  <c r="V30" i="309"/>
  <c r="V31" i="309"/>
  <c r="T32" i="309"/>
  <c r="V21" i="309"/>
  <c r="T28" i="309"/>
  <c r="V28" i="309" s="1"/>
  <c r="V17" i="309"/>
  <c r="V16" i="309"/>
  <c r="V18" i="309"/>
  <c r="V13" i="309"/>
  <c r="V11" i="309"/>
  <c r="V12" i="309"/>
  <c r="V9" i="309"/>
  <c r="V29" i="309"/>
  <c r="V24" i="309"/>
  <c r="D34" i="309"/>
  <c r="L34" i="309"/>
  <c r="P34" i="309"/>
  <c r="V22" i="309"/>
  <c r="V10" i="309"/>
  <c r="V14" i="309"/>
  <c r="V7" i="309"/>
  <c r="N72" i="161"/>
  <c r="N73" i="161" s="1"/>
  <c r="Q66" i="161"/>
  <c r="V66" i="161"/>
  <c r="G66" i="161"/>
  <c r="L66" i="161"/>
  <c r="N65" i="161"/>
  <c r="N66" i="161" s="1"/>
  <c r="O66" i="160"/>
  <c r="O89" i="161"/>
  <c r="W80" i="160"/>
  <c r="V80" i="160"/>
  <c r="V117" i="160" s="1"/>
  <c r="R117" i="160"/>
  <c r="Q117" i="160"/>
  <c r="P117" i="160"/>
  <c r="L117" i="160"/>
  <c r="G80" i="161"/>
  <c r="G117" i="160"/>
  <c r="J66" i="160"/>
  <c r="I65" i="161"/>
  <c r="I66" i="161" s="1"/>
  <c r="S11" i="161"/>
  <c r="T11" i="161" s="1"/>
  <c r="R15" i="161"/>
  <c r="X7" i="161"/>
  <c r="AD7" i="161" s="1"/>
  <c r="W15" i="161"/>
  <c r="X9" i="161"/>
  <c r="AD9" i="161" s="1"/>
  <c r="X11" i="161"/>
  <c r="AD11" i="161" s="1"/>
  <c r="X13" i="161"/>
  <c r="AD13" i="161" s="1"/>
  <c r="V59" i="161"/>
  <c r="X55" i="161"/>
  <c r="U73" i="161"/>
  <c r="W73" i="161"/>
  <c r="X70" i="161"/>
  <c r="AD70" i="161" s="1"/>
  <c r="V91" i="161"/>
  <c r="X90" i="161"/>
  <c r="AD90" i="161" s="1"/>
  <c r="V97" i="161"/>
  <c r="V102" i="161" s="1"/>
  <c r="X94" i="161"/>
  <c r="AD94" i="161" s="1"/>
  <c r="X110" i="161"/>
  <c r="AD110" i="161" s="1"/>
  <c r="X112" i="161"/>
  <c r="AD112" i="161" s="1"/>
  <c r="S69" i="161"/>
  <c r="T69" i="161" s="1"/>
  <c r="B117" i="160"/>
  <c r="T91" i="160"/>
  <c r="S102" i="160"/>
  <c r="X59" i="160"/>
  <c r="AD54" i="160"/>
  <c r="X79" i="160"/>
  <c r="AD79" i="160" s="1"/>
  <c r="AD75" i="160"/>
  <c r="Y99" i="161"/>
  <c r="E15" i="161"/>
  <c r="J31" i="161"/>
  <c r="X15" i="160"/>
  <c r="AD7" i="160"/>
  <c r="X52" i="160"/>
  <c r="Y52" i="160" s="1"/>
  <c r="AD51" i="160"/>
  <c r="AD65" i="160"/>
  <c r="X91" i="160"/>
  <c r="AD89" i="160"/>
  <c r="X97" i="160"/>
  <c r="AD93" i="160"/>
  <c r="X101" i="160"/>
  <c r="AD100" i="160"/>
  <c r="T42" i="160"/>
  <c r="D117" i="160"/>
  <c r="I39" i="161"/>
  <c r="O39" i="161" s="1"/>
  <c r="C52" i="161"/>
  <c r="C80" i="161" s="1"/>
  <c r="C117" i="161" s="1"/>
  <c r="U22" i="160"/>
  <c r="U117" i="160" s="1"/>
  <c r="X37" i="160"/>
  <c r="Y37" i="160" s="1"/>
  <c r="W117" i="160"/>
  <c r="X73" i="160"/>
  <c r="AD73" i="160" s="1"/>
  <c r="X114" i="160"/>
  <c r="AD114" i="160" s="1"/>
  <c r="P21" i="161"/>
  <c r="P22" i="161" s="1"/>
  <c r="R21" i="161"/>
  <c r="R22" i="161" s="1"/>
  <c r="S19" i="161"/>
  <c r="S21" i="161" s="1"/>
  <c r="R37" i="161"/>
  <c r="R42" i="161" s="1"/>
  <c r="S31" i="161"/>
  <c r="T31" i="161" s="1"/>
  <c r="Q59" i="161"/>
  <c r="Q80" i="161" s="1"/>
  <c r="S55" i="161"/>
  <c r="Y55" i="161" s="1"/>
  <c r="P73" i="161"/>
  <c r="R73" i="161"/>
  <c r="R80" i="161" s="1"/>
  <c r="S71" i="161"/>
  <c r="T71" i="161" s="1"/>
  <c r="S78" i="161"/>
  <c r="T78" i="161" s="1"/>
  <c r="V15" i="161"/>
  <c r="X8" i="161"/>
  <c r="AD8" i="161" s="1"/>
  <c r="X10" i="161"/>
  <c r="Y10" i="161" s="1"/>
  <c r="X12" i="161"/>
  <c r="AD12" i="161" s="1"/>
  <c r="X14" i="161"/>
  <c r="AD14" i="161" s="1"/>
  <c r="V21" i="161"/>
  <c r="X18" i="161"/>
  <c r="AD18" i="161" s="1"/>
  <c r="X20" i="161"/>
  <c r="AD20" i="161" s="1"/>
  <c r="V37" i="161"/>
  <c r="X30" i="161"/>
  <c r="AD30" i="161" s="1"/>
  <c r="X32" i="161"/>
  <c r="AD32" i="161" s="1"/>
  <c r="X34" i="161"/>
  <c r="AD34" i="161" s="1"/>
  <c r="X36" i="161"/>
  <c r="AD36" i="161" s="1"/>
  <c r="U59" i="161"/>
  <c r="W59" i="161"/>
  <c r="W114" i="161"/>
  <c r="J55" i="161"/>
  <c r="E59" i="161"/>
  <c r="AD10" i="161"/>
  <c r="Y12" i="161"/>
  <c r="Y14" i="161"/>
  <c r="AD55" i="161"/>
  <c r="AD89" i="161"/>
  <c r="O10" i="161"/>
  <c r="I15" i="161"/>
  <c r="S101" i="161"/>
  <c r="T101" i="161" s="1"/>
  <c r="J89" i="161"/>
  <c r="J18" i="161"/>
  <c r="E114" i="161"/>
  <c r="J114" i="161" s="1"/>
  <c r="N56" i="161"/>
  <c r="O56" i="161" s="1"/>
  <c r="L79" i="161"/>
  <c r="L80" i="161" s="1"/>
  <c r="X50" i="161"/>
  <c r="X56" i="161"/>
  <c r="AD56" i="161" s="1"/>
  <c r="X58" i="161"/>
  <c r="AD58" i="161" s="1"/>
  <c r="V73" i="161"/>
  <c r="U79" i="161"/>
  <c r="X78" i="161"/>
  <c r="AD78" i="161" s="1"/>
  <c r="U91" i="161"/>
  <c r="X95" i="161"/>
  <c r="AD95" i="161" s="1"/>
  <c r="U101" i="161"/>
  <c r="U102" i="161" s="1"/>
  <c r="W101" i="161"/>
  <c r="U114" i="161"/>
  <c r="X108" i="161"/>
  <c r="AD108" i="161" s="1"/>
  <c r="E65" i="161"/>
  <c r="J65" i="161" s="1"/>
  <c r="I72" i="161"/>
  <c r="Y9" i="161"/>
  <c r="S77" i="161"/>
  <c r="S79" i="161" s="1"/>
  <c r="T79" i="161" s="1"/>
  <c r="Q97" i="161"/>
  <c r="S112" i="161"/>
  <c r="T112" i="161" s="1"/>
  <c r="U21" i="161"/>
  <c r="U22" i="161" s="1"/>
  <c r="W21" i="161"/>
  <c r="W22" i="161" s="1"/>
  <c r="X19" i="161"/>
  <c r="AD19" i="161" s="1"/>
  <c r="U37" i="161"/>
  <c r="U42" i="161" s="1"/>
  <c r="W37" i="161"/>
  <c r="W42" i="161" s="1"/>
  <c r="X31" i="161"/>
  <c r="AD31" i="161" s="1"/>
  <c r="X33" i="161"/>
  <c r="AD33" i="161" s="1"/>
  <c r="X35" i="161"/>
  <c r="AD35" i="161" s="1"/>
  <c r="Y95" i="161"/>
  <c r="Y20" i="161"/>
  <c r="I57" i="161"/>
  <c r="J57" i="161" s="1"/>
  <c r="I32" i="161"/>
  <c r="O32" i="161" s="1"/>
  <c r="S57" i="161"/>
  <c r="Y57" i="161" s="1"/>
  <c r="S65" i="161"/>
  <c r="Y65" i="161" s="1"/>
  <c r="S72" i="161"/>
  <c r="Q91" i="161"/>
  <c r="S90" i="161"/>
  <c r="S91" i="161" s="1"/>
  <c r="S111" i="161"/>
  <c r="T111" i="161" s="1"/>
  <c r="U102" i="184"/>
  <c r="Y36" i="161"/>
  <c r="Y32" i="161"/>
  <c r="N90" i="161"/>
  <c r="L101" i="161"/>
  <c r="L102" i="161" s="1"/>
  <c r="X39" i="161"/>
  <c r="AD39" i="161" s="1"/>
  <c r="X57" i="161"/>
  <c r="AD57" i="161" s="1"/>
  <c r="X69" i="161"/>
  <c r="X71" i="161"/>
  <c r="X77" i="161"/>
  <c r="AD77" i="161" s="1"/>
  <c r="W91" i="161"/>
  <c r="U97" i="161"/>
  <c r="W97" i="161"/>
  <c r="X96" i="161"/>
  <c r="AD96" i="161" s="1"/>
  <c r="V101" i="161"/>
  <c r="X109" i="161"/>
  <c r="X113" i="161"/>
  <c r="Q16" i="184"/>
  <c r="S8" i="184"/>
  <c r="S10" i="184"/>
  <c r="S18" i="184"/>
  <c r="R22" i="184"/>
  <c r="S30" i="184"/>
  <c r="S31" i="184"/>
  <c r="S33" i="184"/>
  <c r="P60" i="184"/>
  <c r="R60" i="184"/>
  <c r="S56" i="184"/>
  <c r="Q74" i="184"/>
  <c r="P91" i="184"/>
  <c r="R91" i="184"/>
  <c r="S110" i="184"/>
  <c r="S112" i="184"/>
  <c r="S114" i="184"/>
  <c r="X14" i="184"/>
  <c r="AD14" i="184" s="1"/>
  <c r="U22" i="184"/>
  <c r="U52" i="184"/>
  <c r="U60" i="184"/>
  <c r="W60" i="184"/>
  <c r="X56" i="184"/>
  <c r="AD56" i="184" s="1"/>
  <c r="X58" i="184"/>
  <c r="AD58" i="184" s="1"/>
  <c r="W74" i="184"/>
  <c r="X73" i="184"/>
  <c r="W91" i="184"/>
  <c r="U98" i="184"/>
  <c r="X96" i="184"/>
  <c r="AD96" i="184" s="1"/>
  <c r="X110" i="184"/>
  <c r="AD110" i="184" s="1"/>
  <c r="C27" i="268"/>
  <c r="E27" i="268"/>
  <c r="E17" i="307"/>
  <c r="E27" i="288"/>
  <c r="E27" i="267"/>
  <c r="E22" i="267"/>
  <c r="E20" i="268"/>
  <c r="E22" i="268" s="1"/>
  <c r="E17" i="267"/>
  <c r="E12" i="267"/>
  <c r="E10" i="268"/>
  <c r="E12" i="268" s="1"/>
  <c r="E7" i="267"/>
  <c r="E5" i="268"/>
  <c r="E7" i="268" s="1"/>
  <c r="H25" i="285"/>
  <c r="P25" i="285"/>
  <c r="J25" i="285"/>
  <c r="C44" i="284"/>
  <c r="J23" i="183"/>
  <c r="O23" i="183"/>
  <c r="Y38" i="185"/>
  <c r="S110" i="308"/>
  <c r="E122" i="273"/>
  <c r="F55" i="273"/>
  <c r="E132" i="196"/>
  <c r="J111" i="308"/>
  <c r="E29" i="37"/>
  <c r="G29" i="37"/>
  <c r="M29" i="37"/>
  <c r="AC13" i="274"/>
  <c r="AA131" i="274"/>
  <c r="T36" i="184"/>
  <c r="T52" i="160"/>
  <c r="I80" i="160"/>
  <c r="O12" i="161"/>
  <c r="T61" i="161"/>
  <c r="T95" i="161"/>
  <c r="Y17" i="161"/>
  <c r="I38" i="185"/>
  <c r="T97" i="186"/>
  <c r="V32" i="310"/>
  <c r="O17" i="161"/>
  <c r="G22" i="161"/>
  <c r="V111" i="308"/>
  <c r="K85" i="308"/>
  <c r="S85" i="308"/>
  <c r="K110" i="308"/>
  <c r="E52" i="161"/>
  <c r="J52" i="161" s="1"/>
  <c r="J49" i="161"/>
  <c r="D90" i="273"/>
  <c r="P111" i="308"/>
  <c r="G110" i="308"/>
  <c r="M13" i="239"/>
  <c r="L29" i="308"/>
  <c r="Q28" i="308"/>
  <c r="O96" i="308"/>
  <c r="Q96" i="308"/>
  <c r="S96" i="308"/>
  <c r="W28" i="308"/>
  <c r="F34" i="309"/>
  <c r="J34" i="309"/>
  <c r="N34" i="309"/>
  <c r="R34" i="309"/>
  <c r="T33" i="309"/>
  <c r="O34" i="310"/>
  <c r="R34" i="310"/>
  <c r="S34" i="310"/>
  <c r="O107" i="185"/>
  <c r="M15" i="37"/>
  <c r="S15" i="37" s="1"/>
  <c r="O58" i="161"/>
  <c r="F96" i="159"/>
  <c r="O57" i="274"/>
  <c r="N66" i="274"/>
  <c r="E75" i="161"/>
  <c r="T9" i="185"/>
  <c r="T18" i="185"/>
  <c r="T28" i="185"/>
  <c r="T35" i="185"/>
  <c r="I91" i="160"/>
  <c r="M79" i="161"/>
  <c r="F89" i="159"/>
  <c r="F121" i="159"/>
  <c r="I11" i="184"/>
  <c r="L16" i="184"/>
  <c r="D114" i="273"/>
  <c r="J28" i="273"/>
  <c r="T17" i="185"/>
  <c r="G104" i="274"/>
  <c r="I34" i="274"/>
  <c r="U136" i="274"/>
  <c r="N22" i="308"/>
  <c r="R29" i="308"/>
  <c r="Y29" i="308" s="1"/>
  <c r="U28" i="308"/>
  <c r="U51" i="308"/>
  <c r="Y18" i="308"/>
  <c r="AA22" i="308"/>
  <c r="AC46" i="308"/>
  <c r="AA96" i="308"/>
  <c r="Y28" i="308"/>
  <c r="O13" i="239"/>
  <c r="D21" i="185"/>
  <c r="D110" i="185" s="1"/>
  <c r="B21" i="185"/>
  <c r="D94" i="186"/>
  <c r="S103" i="183"/>
  <c r="Y78" i="308"/>
  <c r="C21" i="185"/>
  <c r="C110" i="185" s="1"/>
  <c r="Y9" i="308"/>
  <c r="Y35" i="308"/>
  <c r="Y51" i="308"/>
  <c r="Y70" i="308"/>
  <c r="T65" i="161"/>
  <c r="X49" i="161"/>
  <c r="V52" i="161"/>
  <c r="X61" i="161"/>
  <c r="X66" i="161" s="1"/>
  <c r="Y77" i="161"/>
  <c r="S16" i="183"/>
  <c r="Y18" i="183"/>
  <c r="S52" i="183"/>
  <c r="S58" i="184"/>
  <c r="S62" i="184"/>
  <c r="S67" i="184" s="1"/>
  <c r="S111" i="184"/>
  <c r="S33" i="161"/>
  <c r="S35" i="161"/>
  <c r="S39" i="161"/>
  <c r="S49" i="161"/>
  <c r="T49" i="161" s="1"/>
  <c r="S70" i="161"/>
  <c r="Q101" i="161"/>
  <c r="S110" i="161"/>
  <c r="T110" i="161" s="1"/>
  <c r="V42" i="161"/>
  <c r="W52" i="161"/>
  <c r="X72" i="161"/>
  <c r="X75" i="161"/>
  <c r="W79" i="161"/>
  <c r="X111" i="161"/>
  <c r="AD111" i="161" s="1"/>
  <c r="S38" i="183"/>
  <c r="W52" i="184"/>
  <c r="X71" i="184"/>
  <c r="AD71" i="184" s="1"/>
  <c r="X112" i="184"/>
  <c r="AD112" i="184" s="1"/>
  <c r="T57" i="161"/>
  <c r="O113" i="161"/>
  <c r="Y56" i="161"/>
  <c r="O15" i="161"/>
  <c r="T113" i="161"/>
  <c r="T13" i="161"/>
  <c r="T19" i="161"/>
  <c r="E37" i="161"/>
  <c r="Y93" i="161"/>
  <c r="Y39" i="161"/>
  <c r="U52" i="161"/>
  <c r="X106" i="161"/>
  <c r="AD106" i="161" s="1"/>
  <c r="X87" i="184"/>
  <c r="AD87" i="184" s="1"/>
  <c r="X115" i="184" l="1"/>
  <c r="AD46" i="185"/>
  <c r="Y46" i="185"/>
  <c r="O87" i="161"/>
  <c r="T87" i="161"/>
  <c r="O94" i="185"/>
  <c r="U80" i="161"/>
  <c r="M80" i="161"/>
  <c r="M117" i="161" s="1"/>
  <c r="F111" i="308"/>
  <c r="Y101" i="161"/>
  <c r="AC35" i="274"/>
  <c r="T77" i="161"/>
  <c r="Y13" i="161"/>
  <c r="F34" i="310"/>
  <c r="N34" i="310"/>
  <c r="P34" i="310"/>
  <c r="J34" i="310"/>
  <c r="V118" i="183"/>
  <c r="E117" i="160"/>
  <c r="E111" i="308"/>
  <c r="G56" i="308"/>
  <c r="Y35" i="274"/>
  <c r="K80" i="161"/>
  <c r="I91" i="161"/>
  <c r="O42" i="160"/>
  <c r="AA35" i="274"/>
  <c r="J69" i="184"/>
  <c r="AD108" i="184"/>
  <c r="Y108" i="184"/>
  <c r="S115" i="184"/>
  <c r="I115" i="184"/>
  <c r="T54" i="184"/>
  <c r="O57" i="184"/>
  <c r="J10" i="184"/>
  <c r="T40" i="184"/>
  <c r="S31" i="37"/>
  <c r="O46" i="186"/>
  <c r="J67" i="186"/>
  <c r="J18" i="186"/>
  <c r="E61" i="186"/>
  <c r="O64" i="186"/>
  <c r="N69" i="186"/>
  <c r="P74" i="186"/>
  <c r="Q118" i="183"/>
  <c r="Y61" i="185"/>
  <c r="I131" i="274"/>
  <c r="G131" i="274"/>
  <c r="T61" i="185"/>
  <c r="O61" i="185"/>
  <c r="N38" i="185"/>
  <c r="T38" i="185" s="1"/>
  <c r="T33" i="185"/>
  <c r="O106" i="161"/>
  <c r="N99" i="185"/>
  <c r="T109" i="161"/>
  <c r="J59" i="160"/>
  <c r="O59" i="160"/>
  <c r="X79" i="161"/>
  <c r="X97" i="161"/>
  <c r="M110" i="308"/>
  <c r="I99" i="185"/>
  <c r="O99" i="185" s="1"/>
  <c r="X138" i="274"/>
  <c r="T111" i="308"/>
  <c r="O88" i="274"/>
  <c r="W118" i="183"/>
  <c r="D117" i="161"/>
  <c r="J103" i="183"/>
  <c r="B132" i="196"/>
  <c r="J21" i="184"/>
  <c r="N115" i="184"/>
  <c r="J33" i="184"/>
  <c r="O100" i="184"/>
  <c r="B104" i="187"/>
  <c r="B122" i="273"/>
  <c r="D122" i="273" s="1"/>
  <c r="G122" i="273"/>
  <c r="J122" i="273" s="1"/>
  <c r="J104" i="186"/>
  <c r="O17" i="186"/>
  <c r="T35" i="186"/>
  <c r="T21" i="160"/>
  <c r="Y21" i="160"/>
  <c r="S22" i="160"/>
  <c r="T22" i="160" s="1"/>
  <c r="O69" i="185"/>
  <c r="T69" i="185"/>
  <c r="J17" i="161"/>
  <c r="E21" i="161"/>
  <c r="E22" i="161" s="1"/>
  <c r="T100" i="161"/>
  <c r="J21" i="160"/>
  <c r="O21" i="160"/>
  <c r="O16" i="183"/>
  <c r="O33" i="185"/>
  <c r="D102" i="196"/>
  <c r="H63" i="159"/>
  <c r="F63" i="159"/>
  <c r="S74" i="185"/>
  <c r="T74" i="185" s="1"/>
  <c r="Y49" i="161"/>
  <c r="N114" i="161"/>
  <c r="O110" i="308"/>
  <c r="U110" i="308"/>
  <c r="Y18" i="161"/>
  <c r="J29" i="161"/>
  <c r="T21" i="161"/>
  <c r="T33" i="310"/>
  <c r="K35" i="274"/>
  <c r="G102" i="161"/>
  <c r="H117" i="161"/>
  <c r="O56" i="184"/>
  <c r="X102" i="184"/>
  <c r="AD102" i="184" s="1"/>
  <c r="J9" i="184"/>
  <c r="E115" i="184"/>
  <c r="S33" i="37"/>
  <c r="O31" i="186"/>
  <c r="O19" i="186"/>
  <c r="Y29" i="186"/>
  <c r="AD64" i="186"/>
  <c r="X69" i="186"/>
  <c r="J46" i="186"/>
  <c r="J64" i="186"/>
  <c r="E69" i="186"/>
  <c r="J26" i="27"/>
  <c r="H26" i="27"/>
  <c r="G110" i="185"/>
  <c r="O41" i="161"/>
  <c r="N42" i="161"/>
  <c r="T41" i="161"/>
  <c r="M110" i="185"/>
  <c r="J78" i="161"/>
  <c r="O78" i="161"/>
  <c r="I79" i="161"/>
  <c r="O79" i="161" s="1"/>
  <c r="O115" i="274"/>
  <c r="K115" i="274"/>
  <c r="Q115" i="274"/>
  <c r="M115" i="274"/>
  <c r="S115" i="274"/>
  <c r="AE111" i="308"/>
  <c r="T102" i="183"/>
  <c r="J106" i="161"/>
  <c r="AD56" i="186"/>
  <c r="X61" i="186"/>
  <c r="AD61" i="186" s="1"/>
  <c r="T56" i="186"/>
  <c r="N61" i="186"/>
  <c r="O8" i="186"/>
  <c r="T11" i="186"/>
  <c r="J91" i="186"/>
  <c r="I61" i="186"/>
  <c r="J61" i="186" s="1"/>
  <c r="J11" i="186"/>
  <c r="F21" i="186"/>
  <c r="X73" i="186"/>
  <c r="AD73" i="186" s="1"/>
  <c r="T71" i="186"/>
  <c r="R21" i="186"/>
  <c r="J57" i="186"/>
  <c r="J45" i="186"/>
  <c r="G21" i="186"/>
  <c r="N83" i="186"/>
  <c r="T105" i="186"/>
  <c r="Y93" i="186"/>
  <c r="J10" i="186"/>
  <c r="T82" i="186"/>
  <c r="Y19" i="186"/>
  <c r="J105" i="186"/>
  <c r="S73" i="186"/>
  <c r="Y73" i="186" s="1"/>
  <c r="O37" i="186"/>
  <c r="Y81" i="186"/>
  <c r="J53" i="186"/>
  <c r="O10" i="186"/>
  <c r="J14" i="186"/>
  <c r="Y90" i="186"/>
  <c r="J37" i="186"/>
  <c r="J71" i="186"/>
  <c r="O97" i="186"/>
  <c r="T57" i="186"/>
  <c r="Y37" i="186"/>
  <c r="Q21" i="186"/>
  <c r="T30" i="186"/>
  <c r="T31" i="186"/>
  <c r="I98" i="186"/>
  <c r="S94" i="186"/>
  <c r="O68" i="186"/>
  <c r="J17" i="186"/>
  <c r="R99" i="186"/>
  <c r="O52" i="186"/>
  <c r="Y32" i="186"/>
  <c r="O86" i="186"/>
  <c r="X46" i="186"/>
  <c r="AD46" i="186" s="1"/>
  <c r="T68" i="186"/>
  <c r="T72" i="186"/>
  <c r="M21" i="186"/>
  <c r="Y13" i="186"/>
  <c r="T53" i="186"/>
  <c r="L99" i="186"/>
  <c r="Y65" i="186"/>
  <c r="T83" i="186"/>
  <c r="Y89" i="186"/>
  <c r="T93" i="186"/>
  <c r="O11" i="186"/>
  <c r="P21" i="186"/>
  <c r="O82" i="186"/>
  <c r="E15" i="186"/>
  <c r="J68" i="186"/>
  <c r="E73" i="186"/>
  <c r="J19" i="186"/>
  <c r="J82" i="186"/>
  <c r="O48" i="186"/>
  <c r="J8" i="186"/>
  <c r="J12" i="186"/>
  <c r="Y66" i="186"/>
  <c r="H74" i="186"/>
  <c r="E83" i="186"/>
  <c r="V21" i="186"/>
  <c r="O53" i="186"/>
  <c r="T12" i="186"/>
  <c r="J92" i="186"/>
  <c r="O35" i="186"/>
  <c r="N98" i="186"/>
  <c r="H99" i="186"/>
  <c r="O7" i="186"/>
  <c r="J7" i="186"/>
  <c r="J9" i="186"/>
  <c r="K99" i="186"/>
  <c r="W74" i="186"/>
  <c r="O89" i="186"/>
  <c r="J49" i="186"/>
  <c r="T14" i="186"/>
  <c r="C21" i="186"/>
  <c r="E107" i="186"/>
  <c r="J106" i="186"/>
  <c r="Y67" i="186"/>
  <c r="R74" i="186"/>
  <c r="H21" i="186"/>
  <c r="J52" i="186"/>
  <c r="N73" i="186"/>
  <c r="I15" i="186"/>
  <c r="Y105" i="186"/>
  <c r="T7" i="186"/>
  <c r="J90" i="186"/>
  <c r="N107" i="186"/>
  <c r="Y28" i="186"/>
  <c r="J89" i="186"/>
  <c r="Y48" i="186"/>
  <c r="J13" i="186"/>
  <c r="J103" i="186"/>
  <c r="O12" i="186"/>
  <c r="Y7" i="186"/>
  <c r="O14" i="186"/>
  <c r="O81" i="186"/>
  <c r="J35" i="186"/>
  <c r="U21" i="186"/>
  <c r="Y51" i="186"/>
  <c r="O13" i="186"/>
  <c r="K74" i="186"/>
  <c r="G74" i="186"/>
  <c r="J96" i="186"/>
  <c r="E94" i="186"/>
  <c r="O45" i="186"/>
  <c r="E20" i="186"/>
  <c r="G99" i="186"/>
  <c r="U74" i="186"/>
  <c r="O30" i="186"/>
  <c r="F99" i="186"/>
  <c r="B74" i="186"/>
  <c r="V99" i="186"/>
  <c r="X54" i="186"/>
  <c r="AD54" i="186" s="1"/>
  <c r="AD71" i="186"/>
  <c r="W21" i="186"/>
  <c r="O103" i="186"/>
  <c r="Y12" i="186"/>
  <c r="X33" i="186"/>
  <c r="AD33" i="186" s="1"/>
  <c r="Y30" i="186"/>
  <c r="N33" i="186"/>
  <c r="N38" i="186" s="1"/>
  <c r="O105" i="186"/>
  <c r="T29" i="186"/>
  <c r="O28" i="186"/>
  <c r="Y49" i="186"/>
  <c r="O71" i="186"/>
  <c r="F74" i="186"/>
  <c r="I107" i="186"/>
  <c r="O66" i="186"/>
  <c r="O18" i="186"/>
  <c r="L21" i="186"/>
  <c r="Q74" i="186"/>
  <c r="O72" i="186"/>
  <c r="Y91" i="186"/>
  <c r="O9" i="186"/>
  <c r="P99" i="186"/>
  <c r="T86" i="186"/>
  <c r="V74" i="186"/>
  <c r="L74" i="186"/>
  <c r="Y92" i="186"/>
  <c r="AD21" i="185"/>
  <c r="Y21" i="185"/>
  <c r="T106" i="186"/>
  <c r="M99" i="186"/>
  <c r="T37" i="186"/>
  <c r="I83" i="186"/>
  <c r="O83" i="186" s="1"/>
  <c r="S20" i="186"/>
  <c r="Y31" i="186"/>
  <c r="Y35" i="186"/>
  <c r="O106" i="186"/>
  <c r="T66" i="186"/>
  <c r="Y15" i="185"/>
  <c r="O96" i="186"/>
  <c r="Y11" i="186"/>
  <c r="J66" i="186"/>
  <c r="J31" i="186"/>
  <c r="U99" i="186"/>
  <c r="Y57" i="186"/>
  <c r="Y71" i="186"/>
  <c r="T48" i="186"/>
  <c r="X20" i="186"/>
  <c r="AD20" i="186" s="1"/>
  <c r="Y9" i="186"/>
  <c r="Y103" i="186"/>
  <c r="AD15" i="185"/>
  <c r="D74" i="186"/>
  <c r="T18" i="186"/>
  <c r="T19" i="186"/>
  <c r="O49" i="186"/>
  <c r="T49" i="186"/>
  <c r="Y17" i="186"/>
  <c r="O92" i="186"/>
  <c r="M74" i="186"/>
  <c r="S87" i="186"/>
  <c r="T87" i="186" s="1"/>
  <c r="B99" i="186"/>
  <c r="D99" i="186"/>
  <c r="T51" i="186"/>
  <c r="Y96" i="186"/>
  <c r="O50" i="186"/>
  <c r="I94" i="186"/>
  <c r="O65" i="186"/>
  <c r="T85" i="186"/>
  <c r="J50" i="186"/>
  <c r="C74" i="186"/>
  <c r="AD54" i="185"/>
  <c r="Y54" i="185"/>
  <c r="X74" i="185"/>
  <c r="Y53" i="186"/>
  <c r="B110" i="185"/>
  <c r="O67" i="186"/>
  <c r="T67" i="186"/>
  <c r="AD14" i="186"/>
  <c r="Y14" i="186"/>
  <c r="Y56" i="186"/>
  <c r="J29" i="186"/>
  <c r="I33" i="186"/>
  <c r="I54" i="186"/>
  <c r="J72" i="186"/>
  <c r="O54" i="185"/>
  <c r="T90" i="186"/>
  <c r="O90" i="186"/>
  <c r="T65" i="186"/>
  <c r="C99" i="186"/>
  <c r="N54" i="186"/>
  <c r="W99" i="186"/>
  <c r="Y64" i="186"/>
  <c r="Y10" i="186"/>
  <c r="T10" i="186"/>
  <c r="J81" i="186"/>
  <c r="J65" i="186"/>
  <c r="S107" i="186"/>
  <c r="Y104" i="186"/>
  <c r="O104" i="186"/>
  <c r="T104" i="186"/>
  <c r="O56" i="186"/>
  <c r="I87" i="186"/>
  <c r="I20" i="186"/>
  <c r="J86" i="186"/>
  <c r="X87" i="186"/>
  <c r="AD87" i="186" s="1"/>
  <c r="AD86" i="186"/>
  <c r="Y86" i="186"/>
  <c r="T52" i="186"/>
  <c r="Y8" i="186"/>
  <c r="T8" i="186"/>
  <c r="J30" i="186"/>
  <c r="N20" i="186"/>
  <c r="T17" i="186"/>
  <c r="AD106" i="186"/>
  <c r="Y106" i="186"/>
  <c r="X83" i="186"/>
  <c r="AD82" i="186"/>
  <c r="Y82" i="186"/>
  <c r="Y52" i="186"/>
  <c r="AD52" i="186"/>
  <c r="S54" i="186"/>
  <c r="X107" i="186"/>
  <c r="T45" i="186"/>
  <c r="Y45" i="186"/>
  <c r="T32" i="186"/>
  <c r="O51" i="186"/>
  <c r="E21" i="185"/>
  <c r="O91" i="186"/>
  <c r="AD69" i="186"/>
  <c r="AD68" i="186"/>
  <c r="N94" i="186"/>
  <c r="T89" i="186"/>
  <c r="S15" i="186"/>
  <c r="Y50" i="186"/>
  <c r="T50" i="186"/>
  <c r="J56" i="186"/>
  <c r="AD9" i="186"/>
  <c r="X15" i="186"/>
  <c r="AD15" i="186" s="1"/>
  <c r="T28" i="186"/>
  <c r="S33" i="186"/>
  <c r="E54" i="186"/>
  <c r="J28" i="186"/>
  <c r="E33" i="186"/>
  <c r="X98" i="186"/>
  <c r="AD98" i="186" s="1"/>
  <c r="AD97" i="186"/>
  <c r="AD89" i="186"/>
  <c r="X94" i="186"/>
  <c r="E98" i="186"/>
  <c r="J97" i="186"/>
  <c r="I73" i="186"/>
  <c r="Y97" i="186"/>
  <c r="S98" i="186"/>
  <c r="T64" i="186"/>
  <c r="O29" i="186"/>
  <c r="T15" i="185"/>
  <c r="N21" i="185"/>
  <c r="T21" i="185" s="1"/>
  <c r="O15" i="185"/>
  <c r="N15" i="186"/>
  <c r="P90" i="273"/>
  <c r="M122" i="273"/>
  <c r="P122" i="273" s="1"/>
  <c r="K122" i="273"/>
  <c r="N122" i="273" s="1"/>
  <c r="H90" i="273"/>
  <c r="Q34" i="310"/>
  <c r="K33" i="37"/>
  <c r="Y45" i="261"/>
  <c r="T48" i="261"/>
  <c r="AC45" i="261"/>
  <c r="AA45" i="261"/>
  <c r="U45" i="261"/>
  <c r="H104" i="187"/>
  <c r="I104" i="187"/>
  <c r="F104" i="187"/>
  <c r="J104" i="187"/>
  <c r="G104" i="187"/>
  <c r="C104" i="187"/>
  <c r="E104" i="187"/>
  <c r="K104" i="187"/>
  <c r="D104" i="187"/>
  <c r="J452" i="311"/>
  <c r="O452" i="311" s="1"/>
  <c r="P65" i="311" s="1"/>
  <c r="O445" i="311"/>
  <c r="O33" i="184"/>
  <c r="T111" i="184"/>
  <c r="J36" i="184"/>
  <c r="J113" i="184"/>
  <c r="J95" i="184"/>
  <c r="J40" i="184"/>
  <c r="P103" i="184"/>
  <c r="T59" i="184"/>
  <c r="G80" i="184"/>
  <c r="J94" i="184"/>
  <c r="N102" i="184"/>
  <c r="O102" i="184" s="1"/>
  <c r="AD101" i="184"/>
  <c r="O50" i="184"/>
  <c r="O15" i="184"/>
  <c r="O58" i="184"/>
  <c r="Q23" i="184"/>
  <c r="E60" i="184"/>
  <c r="N52" i="184"/>
  <c r="J97" i="184"/>
  <c r="T71" i="184"/>
  <c r="J12" i="184"/>
  <c r="T95" i="184"/>
  <c r="O36" i="184"/>
  <c r="T94" i="184"/>
  <c r="J57" i="184"/>
  <c r="V23" i="184"/>
  <c r="J110" i="184"/>
  <c r="T50" i="184"/>
  <c r="T109" i="184"/>
  <c r="I67" i="184"/>
  <c r="J67" i="184" s="1"/>
  <c r="J31" i="184"/>
  <c r="J15" i="184"/>
  <c r="AD62" i="184"/>
  <c r="X67" i="184"/>
  <c r="AD67" i="184" s="1"/>
  <c r="N98" i="184"/>
  <c r="N60" i="184"/>
  <c r="J19" i="184"/>
  <c r="I52" i="184"/>
  <c r="O52" i="184" s="1"/>
  <c r="Y35" i="184"/>
  <c r="J87" i="184"/>
  <c r="T21" i="184"/>
  <c r="J73" i="184"/>
  <c r="J108" i="184"/>
  <c r="O110" i="184"/>
  <c r="T42" i="184"/>
  <c r="O59" i="184"/>
  <c r="J77" i="184"/>
  <c r="J14" i="184"/>
  <c r="G103" i="184"/>
  <c r="R103" i="184"/>
  <c r="E22" i="184"/>
  <c r="Q103" i="184"/>
  <c r="Y89" i="184"/>
  <c r="O51" i="184"/>
  <c r="S74" i="184"/>
  <c r="T30" i="184"/>
  <c r="Y40" i="184"/>
  <c r="T97" i="184"/>
  <c r="J111" i="184"/>
  <c r="O10" i="184"/>
  <c r="H80" i="184"/>
  <c r="Y9" i="184"/>
  <c r="O62" i="184"/>
  <c r="Y77" i="184"/>
  <c r="O77" i="184"/>
  <c r="E102" i="184"/>
  <c r="J102" i="184" s="1"/>
  <c r="J59" i="184"/>
  <c r="K80" i="184"/>
  <c r="J58" i="184"/>
  <c r="B23" i="184"/>
  <c r="O69" i="184"/>
  <c r="O111" i="184"/>
  <c r="J7" i="184"/>
  <c r="T63" i="184"/>
  <c r="O114" i="184"/>
  <c r="O87" i="184"/>
  <c r="Y7" i="184"/>
  <c r="O21" i="184"/>
  <c r="D80" i="184"/>
  <c r="Y90" i="184"/>
  <c r="O54" i="184"/>
  <c r="O32" i="184"/>
  <c r="H103" i="184"/>
  <c r="O31" i="184"/>
  <c r="J32" i="184"/>
  <c r="T51" i="184"/>
  <c r="X91" i="184"/>
  <c r="AD91" i="184" s="1"/>
  <c r="D103" i="184"/>
  <c r="D23" i="184"/>
  <c r="O89" i="184"/>
  <c r="O42" i="184"/>
  <c r="O14" i="184"/>
  <c r="P80" i="184"/>
  <c r="O76" i="184"/>
  <c r="T78" i="184"/>
  <c r="O8" i="184"/>
  <c r="I60" i="184"/>
  <c r="T9" i="184"/>
  <c r="I38" i="184"/>
  <c r="U23" i="184"/>
  <c r="R23" i="184"/>
  <c r="J62" i="184"/>
  <c r="O96" i="184"/>
  <c r="O40" i="184"/>
  <c r="S98" i="184"/>
  <c r="T14" i="184"/>
  <c r="O30" i="184"/>
  <c r="J112" i="184"/>
  <c r="J90" i="184"/>
  <c r="J72" i="184"/>
  <c r="T87" i="184"/>
  <c r="O73" i="184"/>
  <c r="T37" i="184"/>
  <c r="Y21" i="184"/>
  <c r="B103" i="184"/>
  <c r="T15" i="184"/>
  <c r="J78" i="184"/>
  <c r="I91" i="184"/>
  <c r="O91" i="184" s="1"/>
  <c r="AD63" i="184"/>
  <c r="L80" i="184"/>
  <c r="F80" i="184"/>
  <c r="O35" i="184"/>
  <c r="K23" i="184"/>
  <c r="J100" i="184"/>
  <c r="Y19" i="184"/>
  <c r="Y72" i="184"/>
  <c r="J101" i="184"/>
  <c r="O78" i="184"/>
  <c r="T62" i="184"/>
  <c r="Y33" i="184"/>
  <c r="N16" i="184"/>
  <c r="V103" i="184"/>
  <c r="U103" i="184"/>
  <c r="J54" i="184"/>
  <c r="I79" i="184"/>
  <c r="S102" i="184"/>
  <c r="Y102" i="184" s="1"/>
  <c r="J96" i="184"/>
  <c r="Y63" i="184"/>
  <c r="O72" i="184"/>
  <c r="O20" i="184"/>
  <c r="C103" i="184"/>
  <c r="H23" i="184"/>
  <c r="J8" i="184"/>
  <c r="O95" i="184"/>
  <c r="L103" i="184"/>
  <c r="Y51" i="184"/>
  <c r="Y109" i="184"/>
  <c r="B80" i="184"/>
  <c r="Y42" i="184"/>
  <c r="E16" i="184"/>
  <c r="O63" i="184"/>
  <c r="T100" i="184"/>
  <c r="J30" i="184"/>
  <c r="L23" i="184"/>
  <c r="T112" i="184"/>
  <c r="R80" i="184"/>
  <c r="P23" i="184"/>
  <c r="T12" i="184"/>
  <c r="O7" i="184"/>
  <c r="C80" i="184"/>
  <c r="C23" i="184"/>
  <c r="M80" i="184"/>
  <c r="M118" i="184" s="1"/>
  <c r="I98" i="184"/>
  <c r="O12" i="184"/>
  <c r="T113" i="184"/>
  <c r="Y76" i="184"/>
  <c r="X52" i="184"/>
  <c r="AD52" i="184" s="1"/>
  <c r="J63" i="184"/>
  <c r="J42" i="184"/>
  <c r="J35" i="184"/>
  <c r="O112" i="184"/>
  <c r="E38" i="184"/>
  <c r="S22" i="184"/>
  <c r="Y11" i="184"/>
  <c r="S79" i="184"/>
  <c r="J20" i="184"/>
  <c r="W23" i="184"/>
  <c r="T19" i="184"/>
  <c r="O19" i="184"/>
  <c r="J76" i="184"/>
  <c r="E79" i="184"/>
  <c r="O71" i="184"/>
  <c r="J71" i="184"/>
  <c r="E98" i="184"/>
  <c r="Y18" i="184"/>
  <c r="O93" i="184"/>
  <c r="X79" i="184"/>
  <c r="AD79" i="184" s="1"/>
  <c r="S52" i="184"/>
  <c r="Y34" i="184"/>
  <c r="Y37" i="184"/>
  <c r="T20" i="184"/>
  <c r="T93" i="184"/>
  <c r="K103" i="184"/>
  <c r="J18" i="184"/>
  <c r="O109" i="184"/>
  <c r="I22" i="184"/>
  <c r="T89" i="184"/>
  <c r="S91" i="184"/>
  <c r="F103" i="184"/>
  <c r="N79" i="184"/>
  <c r="T76" i="184"/>
  <c r="O108" i="184"/>
  <c r="G23" i="184"/>
  <c r="G118" i="184" s="1"/>
  <c r="Y78" i="184"/>
  <c r="J51" i="184"/>
  <c r="E52" i="184"/>
  <c r="J52" i="184" s="1"/>
  <c r="N74" i="184"/>
  <c r="Y54" i="184"/>
  <c r="T69" i="184"/>
  <c r="Y93" i="184"/>
  <c r="Y32" i="184"/>
  <c r="V80" i="184"/>
  <c r="O55" i="184"/>
  <c r="Y50" i="184"/>
  <c r="J93" i="184"/>
  <c r="O18" i="184"/>
  <c r="J56" i="184"/>
  <c r="O113" i="184"/>
  <c r="T32" i="184"/>
  <c r="I74" i="184"/>
  <c r="T108" i="184"/>
  <c r="E91" i="184"/>
  <c r="J89" i="184"/>
  <c r="Y94" i="184"/>
  <c r="Y69" i="184"/>
  <c r="O97" i="184"/>
  <c r="M85" i="308"/>
  <c r="H111" i="308"/>
  <c r="Y111" i="184"/>
  <c r="S60" i="184"/>
  <c r="T60" i="184" s="1"/>
  <c r="V80" i="161"/>
  <c r="V117" i="161" s="1"/>
  <c r="Q85" i="308"/>
  <c r="K111" i="308"/>
  <c r="T35" i="184"/>
  <c r="Y11" i="161"/>
  <c r="X91" i="161"/>
  <c r="AD91" i="161" s="1"/>
  <c r="T19" i="310"/>
  <c r="Y97" i="184"/>
  <c r="AD97" i="184"/>
  <c r="X22" i="184"/>
  <c r="AD22" i="184" s="1"/>
  <c r="AD20" i="184"/>
  <c r="AD74" i="183"/>
  <c r="Y74" i="183"/>
  <c r="M56" i="308"/>
  <c r="K56" i="308"/>
  <c r="I56" i="308"/>
  <c r="J98" i="185"/>
  <c r="E99" i="185"/>
  <c r="U131" i="274"/>
  <c r="W131" i="274"/>
  <c r="U22" i="274"/>
  <c r="S22" i="274"/>
  <c r="O22" i="274"/>
  <c r="Q22" i="274"/>
  <c r="W22" i="274"/>
  <c r="N35" i="274"/>
  <c r="F105" i="274"/>
  <c r="G105" i="274" s="1"/>
  <c r="M97" i="274"/>
  <c r="O97" i="274"/>
  <c r="K97" i="274"/>
  <c r="G97" i="274"/>
  <c r="M130" i="274"/>
  <c r="Q130" i="274"/>
  <c r="J131" i="274"/>
  <c r="O130" i="274"/>
  <c r="S130" i="274"/>
  <c r="K130" i="274"/>
  <c r="M22" i="274"/>
  <c r="L35" i="274"/>
  <c r="M35" i="274" s="1"/>
  <c r="O101" i="184"/>
  <c r="O15" i="160"/>
  <c r="I22" i="160"/>
  <c r="J15" i="160"/>
  <c r="T22" i="183"/>
  <c r="Y110" i="308"/>
  <c r="T101" i="184"/>
  <c r="Y46" i="186"/>
  <c r="T46" i="186"/>
  <c r="O74" i="185"/>
  <c r="Q56" i="308"/>
  <c r="U117" i="161"/>
  <c r="Y68" i="186"/>
  <c r="W80" i="184"/>
  <c r="X23" i="183"/>
  <c r="I85" i="308"/>
  <c r="J39" i="161"/>
  <c r="X38" i="184"/>
  <c r="Y36" i="184"/>
  <c r="K117" i="161"/>
  <c r="S15" i="161"/>
  <c r="T15" i="161" s="1"/>
  <c r="U19" i="310"/>
  <c r="V19" i="310" s="1"/>
  <c r="U33" i="310"/>
  <c r="V33" i="310" s="1"/>
  <c r="I34" i="310"/>
  <c r="E34" i="310"/>
  <c r="Y95" i="184"/>
  <c r="AD95" i="184"/>
  <c r="Y15" i="184"/>
  <c r="AD15" i="184"/>
  <c r="Y60" i="183"/>
  <c r="T60" i="183"/>
  <c r="J53" i="29"/>
  <c r="M50" i="29"/>
  <c r="K50" i="29"/>
  <c r="Y79" i="183"/>
  <c r="AD102" i="183"/>
  <c r="Y102" i="183"/>
  <c r="K29" i="308"/>
  <c r="C111" i="308"/>
  <c r="I111" i="308" s="1"/>
  <c r="G29" i="308"/>
  <c r="D138" i="274"/>
  <c r="I35" i="274"/>
  <c r="G35" i="274"/>
  <c r="Q88" i="274"/>
  <c r="U88" i="274"/>
  <c r="S88" i="274"/>
  <c r="L105" i="274"/>
  <c r="G66" i="274"/>
  <c r="T90" i="184"/>
  <c r="O90" i="184"/>
  <c r="N97" i="161"/>
  <c r="T97" i="161" s="1"/>
  <c r="O93" i="161"/>
  <c r="J91" i="161"/>
  <c r="I102" i="161"/>
  <c r="O95" i="161"/>
  <c r="I97" i="161"/>
  <c r="I21" i="161"/>
  <c r="N22" i="184"/>
  <c r="O114" i="160"/>
  <c r="E74" i="184"/>
  <c r="T79" i="183"/>
  <c r="AD38" i="183"/>
  <c r="X43" i="183"/>
  <c r="AD43" i="183" s="1"/>
  <c r="AD91" i="183"/>
  <c r="Y91" i="183"/>
  <c r="AD115" i="183"/>
  <c r="Y115" i="183"/>
  <c r="Y14" i="184"/>
  <c r="Y90" i="161"/>
  <c r="O85" i="308"/>
  <c r="I37" i="161"/>
  <c r="I118" i="183"/>
  <c r="Y73" i="184"/>
  <c r="AD73" i="184"/>
  <c r="Q80" i="184"/>
  <c r="Y7" i="161"/>
  <c r="Y12" i="184"/>
  <c r="AD12" i="184"/>
  <c r="Y113" i="184"/>
  <c r="AD113" i="184"/>
  <c r="AD98" i="183"/>
  <c r="Y98" i="183"/>
  <c r="AD67" i="183"/>
  <c r="Y67" i="183"/>
  <c r="X103" i="183"/>
  <c r="AD103" i="183" s="1"/>
  <c r="X80" i="183"/>
  <c r="AD80" i="183" s="1"/>
  <c r="AD52" i="183"/>
  <c r="U56" i="308"/>
  <c r="W56" i="308"/>
  <c r="S56" i="308"/>
  <c r="AA56" i="308"/>
  <c r="L63" i="159"/>
  <c r="J63" i="159"/>
  <c r="I29" i="308"/>
  <c r="E43" i="183"/>
  <c r="J38" i="183"/>
  <c r="D46" i="196"/>
  <c r="C66" i="196"/>
  <c r="F66" i="196" s="1"/>
  <c r="K88" i="274"/>
  <c r="J105" i="274"/>
  <c r="K105" i="274" s="1"/>
  <c r="I27" i="37"/>
  <c r="K27" i="37"/>
  <c r="O27" i="37"/>
  <c r="Q27" i="37"/>
  <c r="E27" i="37"/>
  <c r="C27" i="37"/>
  <c r="G27" i="37"/>
  <c r="M27" i="37"/>
  <c r="O61" i="161"/>
  <c r="J61" i="161"/>
  <c r="O97" i="160"/>
  <c r="J97" i="160"/>
  <c r="J19" i="161"/>
  <c r="G85" i="308"/>
  <c r="J115" i="183"/>
  <c r="J80" i="183"/>
  <c r="AC110" i="308"/>
  <c r="Y56" i="308"/>
  <c r="Y85" i="308"/>
  <c r="D62" i="159"/>
  <c r="B63" i="159"/>
  <c r="E74" i="185"/>
  <c r="J74" i="185" s="1"/>
  <c r="J54" i="185"/>
  <c r="I48" i="274"/>
  <c r="Q48" i="274"/>
  <c r="M48" i="274"/>
  <c r="O48" i="274"/>
  <c r="K48" i="274"/>
  <c r="H66" i="274"/>
  <c r="N80" i="183"/>
  <c r="N118" i="183" s="1"/>
  <c r="O118" i="183" s="1"/>
  <c r="O67" i="183"/>
  <c r="T67" i="183"/>
  <c r="J99" i="161"/>
  <c r="E101" i="161"/>
  <c r="J101" i="161" s="1"/>
  <c r="G48" i="274"/>
  <c r="W110" i="308"/>
  <c r="S35" i="274"/>
  <c r="Q35" i="274"/>
  <c r="U35" i="274"/>
  <c r="M42" i="274"/>
  <c r="J66" i="274"/>
  <c r="O42" i="274"/>
  <c r="K42" i="274"/>
  <c r="S42" i="274"/>
  <c r="Q42" i="274"/>
  <c r="F122" i="159"/>
  <c r="D122" i="159"/>
  <c r="C129" i="159"/>
  <c r="F129" i="159" s="1"/>
  <c r="O51" i="161"/>
  <c r="N52" i="161"/>
  <c r="O52" i="161" s="1"/>
  <c r="Y98" i="185"/>
  <c r="T98" i="185"/>
  <c r="S99" i="185"/>
  <c r="J95" i="161"/>
  <c r="W85" i="308"/>
  <c r="T93" i="161"/>
  <c r="Y131" i="274"/>
  <c r="O56" i="308"/>
  <c r="I129" i="159"/>
  <c r="N38" i="184"/>
  <c r="N43" i="184" s="1"/>
  <c r="T34" i="184"/>
  <c r="O34" i="184"/>
  <c r="W103" i="184"/>
  <c r="X74" i="184"/>
  <c r="AD74" i="184" s="1"/>
  <c r="X98" i="184"/>
  <c r="X16" i="184"/>
  <c r="Y20" i="184"/>
  <c r="AD23" i="183"/>
  <c r="U80" i="184"/>
  <c r="Y59" i="184"/>
  <c r="T55" i="184"/>
  <c r="Y55" i="184"/>
  <c r="X60" i="184"/>
  <c r="T57" i="184"/>
  <c r="Y57" i="184"/>
  <c r="J33" i="196"/>
  <c r="L65" i="196"/>
  <c r="I66" i="196"/>
  <c r="H66" i="196"/>
  <c r="V14" i="310"/>
  <c r="V9" i="310"/>
  <c r="C34" i="310"/>
  <c r="B34" i="310"/>
  <c r="D34" i="310"/>
  <c r="S105" i="274"/>
  <c r="U105" i="274"/>
  <c r="B138" i="274"/>
  <c r="AE138" i="274"/>
  <c r="E5" i="122"/>
  <c r="E14" i="122"/>
  <c r="E7" i="122"/>
  <c r="E10" i="122"/>
  <c r="E8" i="122"/>
  <c r="E6" i="122"/>
  <c r="E11" i="122"/>
  <c r="E9" i="122"/>
  <c r="E12" i="122"/>
  <c r="V32" i="309"/>
  <c r="U34" i="309"/>
  <c r="U33" i="309"/>
  <c r="V33" i="309" s="1"/>
  <c r="Y96" i="161"/>
  <c r="I59" i="161"/>
  <c r="X59" i="161"/>
  <c r="AD59" i="161" s="1"/>
  <c r="Q102" i="161"/>
  <c r="Q117" i="161" s="1"/>
  <c r="Y35" i="161"/>
  <c r="T55" i="161"/>
  <c r="O57" i="161"/>
  <c r="Y112" i="161"/>
  <c r="T72" i="161"/>
  <c r="S59" i="161"/>
  <c r="X21" i="161"/>
  <c r="Y34" i="161"/>
  <c r="J15" i="161"/>
  <c r="Y79" i="160"/>
  <c r="Y58" i="161"/>
  <c r="V22" i="161"/>
  <c r="G117" i="161"/>
  <c r="E66" i="161"/>
  <c r="S66" i="161"/>
  <c r="T66" i="161" s="1"/>
  <c r="T66" i="160"/>
  <c r="N80" i="160"/>
  <c r="N117" i="160" s="1"/>
  <c r="L117" i="161"/>
  <c r="O65" i="161"/>
  <c r="O66" i="161"/>
  <c r="Y78" i="161"/>
  <c r="Y30" i="161"/>
  <c r="Y8" i="161"/>
  <c r="S22" i="161"/>
  <c r="Y94" i="161"/>
  <c r="P80" i="161"/>
  <c r="P117" i="161" s="1"/>
  <c r="AD37" i="160"/>
  <c r="X42" i="160"/>
  <c r="AD59" i="160"/>
  <c r="Y59" i="160"/>
  <c r="T102" i="160"/>
  <c r="Y19" i="161"/>
  <c r="X37" i="161"/>
  <c r="X15" i="161"/>
  <c r="Y15" i="161" s="1"/>
  <c r="Y73" i="160"/>
  <c r="Y114" i="160"/>
  <c r="Y66" i="160"/>
  <c r="AD101" i="160"/>
  <c r="Y101" i="160"/>
  <c r="Y97" i="160"/>
  <c r="AD97" i="160"/>
  <c r="AD91" i="160"/>
  <c r="X102" i="160"/>
  <c r="X80" i="160"/>
  <c r="AD80" i="160" s="1"/>
  <c r="AD52" i="160"/>
  <c r="AD15" i="160"/>
  <c r="Y15" i="160"/>
  <c r="X22" i="160"/>
  <c r="T80" i="160"/>
  <c r="Y80" i="160"/>
  <c r="Y91" i="160"/>
  <c r="X73" i="161"/>
  <c r="AD73" i="161" s="1"/>
  <c r="AD72" i="161"/>
  <c r="Y61" i="161"/>
  <c r="AD61" i="161"/>
  <c r="X52" i="161"/>
  <c r="AD52" i="161" s="1"/>
  <c r="AD49" i="161"/>
  <c r="Y109" i="161"/>
  <c r="AD109" i="161"/>
  <c r="Y69" i="161"/>
  <c r="AD69" i="161"/>
  <c r="Y31" i="161"/>
  <c r="Y79" i="161"/>
  <c r="AD79" i="161"/>
  <c r="Y75" i="161"/>
  <c r="AD75" i="161"/>
  <c r="Y97" i="161"/>
  <c r="AD97" i="161"/>
  <c r="Y113" i="161"/>
  <c r="AD113" i="161"/>
  <c r="Y71" i="161"/>
  <c r="AD71" i="161"/>
  <c r="J72" i="161"/>
  <c r="O72" i="161"/>
  <c r="I73" i="161"/>
  <c r="AD50" i="161"/>
  <c r="Y50" i="161"/>
  <c r="N59" i="161"/>
  <c r="N80" i="161" s="1"/>
  <c r="T56" i="161"/>
  <c r="W80" i="161"/>
  <c r="Y111" i="161"/>
  <c r="T59" i="161"/>
  <c r="Y108" i="161"/>
  <c r="T114" i="184"/>
  <c r="Y114" i="184"/>
  <c r="Y56" i="184"/>
  <c r="T56" i="184"/>
  <c r="T31" i="184"/>
  <c r="Y31" i="184"/>
  <c r="T10" i="184"/>
  <c r="Y10" i="184"/>
  <c r="T58" i="184"/>
  <c r="R117" i="161"/>
  <c r="Y110" i="184"/>
  <c r="T18" i="184"/>
  <c r="T110" i="184"/>
  <c r="J32" i="161"/>
  <c r="S38" i="184"/>
  <c r="Y30" i="184"/>
  <c r="Y8" i="184"/>
  <c r="S16" i="184"/>
  <c r="N91" i="161"/>
  <c r="T90" i="161"/>
  <c r="O90" i="161"/>
  <c r="W102" i="161"/>
  <c r="T33" i="184"/>
  <c r="T8" i="184"/>
  <c r="Y96" i="184"/>
  <c r="T52" i="183"/>
  <c r="S80" i="183"/>
  <c r="Y52" i="183"/>
  <c r="Y103" i="183"/>
  <c r="S22" i="308"/>
  <c r="O22" i="308"/>
  <c r="U22" i="308"/>
  <c r="Q22" i="308"/>
  <c r="N29" i="308"/>
  <c r="S66" i="274"/>
  <c r="N138" i="274"/>
  <c r="O66" i="274"/>
  <c r="Q66" i="274"/>
  <c r="U66" i="274"/>
  <c r="W66" i="274"/>
  <c r="M29" i="308"/>
  <c r="L111" i="308"/>
  <c r="M111" i="308" s="1"/>
  <c r="I42" i="161"/>
  <c r="O42" i="161" s="1"/>
  <c r="O37" i="161"/>
  <c r="J99" i="185"/>
  <c r="J80" i="160"/>
  <c r="AA138" i="274"/>
  <c r="Y138" i="274"/>
  <c r="H132" i="196"/>
  <c r="H122" i="273"/>
  <c r="F122" i="273"/>
  <c r="Y58" i="184"/>
  <c r="Y72" i="161"/>
  <c r="T34" i="309"/>
  <c r="W22" i="308"/>
  <c r="Y71" i="184"/>
  <c r="Y62" i="184"/>
  <c r="AC138" i="274"/>
  <c r="T103" i="183"/>
  <c r="AD115" i="184"/>
  <c r="Y112" i="184"/>
  <c r="T38" i="183"/>
  <c r="Y38" i="183"/>
  <c r="Y110" i="161"/>
  <c r="S114" i="161"/>
  <c r="T114" i="161" s="1"/>
  <c r="T70" i="161"/>
  <c r="S73" i="161"/>
  <c r="Y70" i="161"/>
  <c r="T39" i="161"/>
  <c r="S37" i="161"/>
  <c r="S42" i="161" s="1"/>
  <c r="Y33" i="161"/>
  <c r="T33" i="161"/>
  <c r="T16" i="183"/>
  <c r="Y16" i="183"/>
  <c r="S23" i="183"/>
  <c r="U29" i="308"/>
  <c r="AA29" i="308"/>
  <c r="S29" i="308"/>
  <c r="O11" i="184"/>
  <c r="I16" i="184"/>
  <c r="J11" i="184"/>
  <c r="I102" i="160"/>
  <c r="O91" i="160"/>
  <c r="J91" i="160"/>
  <c r="E79" i="161"/>
  <c r="J75" i="161"/>
  <c r="O38" i="185"/>
  <c r="J38" i="185"/>
  <c r="I43" i="184"/>
  <c r="S43" i="183"/>
  <c r="X102" i="161"/>
  <c r="AD102" i="161" s="1"/>
  <c r="T35" i="161"/>
  <c r="S52" i="161"/>
  <c r="S29" i="37"/>
  <c r="R111" i="308"/>
  <c r="W29" i="308"/>
  <c r="G111" i="308"/>
  <c r="AC111" i="308"/>
  <c r="X114" i="161"/>
  <c r="AD114" i="161" s="1"/>
  <c r="Y106" i="161"/>
  <c r="I80" i="161"/>
  <c r="S102" i="161"/>
  <c r="Y91" i="161"/>
  <c r="T91" i="161"/>
  <c r="E42" i="161"/>
  <c r="J42" i="161" s="1"/>
  <c r="J37" i="161"/>
  <c r="T22" i="161"/>
  <c r="N103" i="184"/>
  <c r="O114" i="161"/>
  <c r="Y87" i="184"/>
  <c r="J59" i="161"/>
  <c r="Y59" i="161" l="1"/>
  <c r="U34" i="310"/>
  <c r="X80" i="161"/>
  <c r="AD80" i="161" s="1"/>
  <c r="I110" i="185"/>
  <c r="X118" i="183"/>
  <c r="AD118" i="183" s="1"/>
  <c r="J79" i="184"/>
  <c r="O61" i="186"/>
  <c r="O59" i="161"/>
  <c r="W117" i="161"/>
  <c r="O79" i="184"/>
  <c r="J38" i="184"/>
  <c r="S117" i="160"/>
  <c r="T117" i="160" s="1"/>
  <c r="P164" i="311"/>
  <c r="P214" i="311"/>
  <c r="P441" i="311"/>
  <c r="P402" i="311"/>
  <c r="T73" i="186"/>
  <c r="H110" i="186"/>
  <c r="X38" i="186"/>
  <c r="AD38" i="186" s="1"/>
  <c r="Q110" i="186"/>
  <c r="L110" i="186"/>
  <c r="E21" i="186"/>
  <c r="J15" i="186"/>
  <c r="R110" i="186"/>
  <c r="O98" i="186"/>
  <c r="C110" i="186"/>
  <c r="V110" i="186"/>
  <c r="T107" i="186"/>
  <c r="O107" i="186"/>
  <c r="J20" i="186"/>
  <c r="P110" i="186"/>
  <c r="U110" i="186"/>
  <c r="G110" i="186"/>
  <c r="K110" i="186"/>
  <c r="Y54" i="186"/>
  <c r="J107" i="186"/>
  <c r="N110" i="185"/>
  <c r="T15" i="186"/>
  <c r="B110" i="186"/>
  <c r="D110" i="186"/>
  <c r="F110" i="186"/>
  <c r="J54" i="186"/>
  <c r="W110" i="186"/>
  <c r="T69" i="186"/>
  <c r="J94" i="186"/>
  <c r="J83" i="186"/>
  <c r="Y20" i="186"/>
  <c r="Y69" i="186"/>
  <c r="AD74" i="185"/>
  <c r="X110" i="185"/>
  <c r="AD110" i="185" s="1"/>
  <c r="Y74" i="185"/>
  <c r="S74" i="186"/>
  <c r="M110" i="186"/>
  <c r="E110" i="185"/>
  <c r="O73" i="186"/>
  <c r="J73" i="186"/>
  <c r="O15" i="186"/>
  <c r="Y107" i="186"/>
  <c r="AD107" i="186"/>
  <c r="O87" i="186"/>
  <c r="I99" i="186"/>
  <c r="T54" i="186"/>
  <c r="N74" i="186"/>
  <c r="Y15" i="186"/>
  <c r="O54" i="186"/>
  <c r="I74" i="186"/>
  <c r="Y61" i="186"/>
  <c r="T61" i="186"/>
  <c r="J21" i="185"/>
  <c r="T98" i="186"/>
  <c r="S99" i="186"/>
  <c r="Y98" i="186"/>
  <c r="J98" i="186"/>
  <c r="E99" i="186"/>
  <c r="Y33" i="186"/>
  <c r="S38" i="186"/>
  <c r="E74" i="186"/>
  <c r="J87" i="186"/>
  <c r="X21" i="186"/>
  <c r="AD21" i="186" s="1"/>
  <c r="AD83" i="186"/>
  <c r="X99" i="186"/>
  <c r="AD99" i="186" s="1"/>
  <c r="T20" i="186"/>
  <c r="N21" i="186"/>
  <c r="O20" i="186"/>
  <c r="I21" i="186"/>
  <c r="T33" i="186"/>
  <c r="O69" i="186"/>
  <c r="Y83" i="186"/>
  <c r="I38" i="186"/>
  <c r="O38" i="186" s="1"/>
  <c r="O33" i="186"/>
  <c r="Y87" i="186"/>
  <c r="X74" i="186"/>
  <c r="AD94" i="186"/>
  <c r="Y94" i="186"/>
  <c r="E38" i="186"/>
  <c r="J33" i="186"/>
  <c r="T94" i="186"/>
  <c r="O94" i="186"/>
  <c r="N99" i="186"/>
  <c r="S21" i="186"/>
  <c r="O21" i="185"/>
  <c r="J69" i="186"/>
  <c r="L122" i="273"/>
  <c r="P235" i="311"/>
  <c r="P269" i="311"/>
  <c r="P85" i="311"/>
  <c r="P97" i="311"/>
  <c r="P230" i="311"/>
  <c r="P168" i="311"/>
  <c r="P335" i="311"/>
  <c r="P53" i="311"/>
  <c r="P34" i="311"/>
  <c r="AC48" i="261"/>
  <c r="Y48" i="261"/>
  <c r="W48" i="261"/>
  <c r="U48" i="261"/>
  <c r="AA48" i="261"/>
  <c r="P356" i="311"/>
  <c r="P153" i="311"/>
  <c r="P58" i="311"/>
  <c r="P166" i="311"/>
  <c r="P413" i="311"/>
  <c r="P315" i="311"/>
  <c r="P219" i="311"/>
  <c r="P328" i="311"/>
  <c r="P182" i="311"/>
  <c r="P288" i="311"/>
  <c r="P427" i="311"/>
  <c r="P88" i="311"/>
  <c r="P274" i="311"/>
  <c r="P289" i="311"/>
  <c r="P216" i="311"/>
  <c r="P32" i="311"/>
  <c r="P220" i="311"/>
  <c r="P361" i="311"/>
  <c r="P167" i="311"/>
  <c r="P443" i="311"/>
  <c r="P204" i="311"/>
  <c r="P376" i="311"/>
  <c r="P280" i="311"/>
  <c r="P438" i="311"/>
  <c r="P451" i="311"/>
  <c r="P383" i="311"/>
  <c r="P381" i="311"/>
  <c r="P157" i="311"/>
  <c r="P102" i="311"/>
  <c r="P161" i="311"/>
  <c r="P116" i="311"/>
  <c r="P15" i="311"/>
  <c r="P71" i="311"/>
  <c r="P205" i="311"/>
  <c r="P300" i="311"/>
  <c r="P355" i="311"/>
  <c r="P396" i="311"/>
  <c r="P344" i="311"/>
  <c r="P394" i="311"/>
  <c r="P206" i="311"/>
  <c r="P61" i="311"/>
  <c r="P54" i="311"/>
  <c r="P84" i="311"/>
  <c r="P25" i="311"/>
  <c r="P26" i="311" s="1"/>
  <c r="P191" i="311"/>
  <c r="P132" i="311"/>
  <c r="P40" i="311"/>
  <c r="P423" i="311"/>
  <c r="P305" i="311"/>
  <c r="P90" i="311"/>
  <c r="P147" i="311"/>
  <c r="P318" i="311"/>
  <c r="P112" i="311"/>
  <c r="P369" i="311"/>
  <c r="P428" i="311"/>
  <c r="P227" i="311"/>
  <c r="P304" i="311"/>
  <c r="P384" i="311"/>
  <c r="P199" i="311"/>
  <c r="P364" i="311"/>
  <c r="P336" i="311"/>
  <c r="P417" i="311"/>
  <c r="P372" i="311"/>
  <c r="P303" i="311"/>
  <c r="P217" i="311"/>
  <c r="P371" i="311"/>
  <c r="P207" i="311"/>
  <c r="P86" i="311"/>
  <c r="P19" i="311"/>
  <c r="P196" i="311"/>
  <c r="P141" i="311"/>
  <c r="P95" i="311"/>
  <c r="P209" i="311"/>
  <c r="P195" i="311"/>
  <c r="P13" i="311"/>
  <c r="P247" i="311"/>
  <c r="P152" i="311"/>
  <c r="P297" i="311"/>
  <c r="P282" i="311"/>
  <c r="P411" i="311"/>
  <c r="P395" i="311"/>
  <c r="P348" i="311"/>
  <c r="P365" i="311"/>
  <c r="P399" i="311"/>
  <c r="P262" i="311"/>
  <c r="P418" i="311"/>
  <c r="P281" i="311"/>
  <c r="P363" i="311"/>
  <c r="P236" i="311"/>
  <c r="P379" i="311"/>
  <c r="P380" i="311"/>
  <c r="P375" i="311"/>
  <c r="P295" i="311"/>
  <c r="P210" i="311"/>
  <c r="P340" i="311"/>
  <c r="P208" i="311"/>
  <c r="P373" i="311"/>
  <c r="P403" i="311"/>
  <c r="P268" i="311"/>
  <c r="P329" i="311"/>
  <c r="P429" i="311"/>
  <c r="P302" i="311"/>
  <c r="P222" i="311"/>
  <c r="P134" i="311"/>
  <c r="P56" i="311"/>
  <c r="P253" i="311"/>
  <c r="P416" i="311"/>
  <c r="P350" i="311"/>
  <c r="P254" i="311"/>
  <c r="P175" i="311"/>
  <c r="P92" i="311"/>
  <c r="P8" i="311"/>
  <c r="P37" i="311"/>
  <c r="P31" i="311"/>
  <c r="P189" i="311"/>
  <c r="P106" i="311"/>
  <c r="P28" i="311"/>
  <c r="P57" i="311"/>
  <c r="P55" i="311"/>
  <c r="P263" i="311"/>
  <c r="P434" i="311"/>
  <c r="P342" i="311"/>
  <c r="P317" i="311"/>
  <c r="P439" i="311"/>
  <c r="P306" i="311"/>
  <c r="P226" i="311"/>
  <c r="P140" i="311"/>
  <c r="P60" i="311"/>
  <c r="P127" i="311"/>
  <c r="P145" i="311"/>
  <c r="P237" i="311"/>
  <c r="P154" i="311"/>
  <c r="P79" i="311"/>
  <c r="P178" i="311"/>
  <c r="P33" i="311"/>
  <c r="P270" i="311"/>
  <c r="P117" i="311"/>
  <c r="P233" i="311"/>
  <c r="P73" i="311"/>
  <c r="P109" i="311"/>
  <c r="P87" i="311"/>
  <c r="P103" i="311"/>
  <c r="P138" i="311"/>
  <c r="P151" i="311"/>
  <c r="P312" i="311"/>
  <c r="P159" i="311"/>
  <c r="P252" i="311"/>
  <c r="P94" i="311"/>
  <c r="P66" i="311"/>
  <c r="P70" i="311"/>
  <c r="P122" i="311"/>
  <c r="P46" i="311"/>
  <c r="P241" i="311"/>
  <c r="P400" i="311"/>
  <c r="P391" i="311"/>
  <c r="P307" i="311"/>
  <c r="P223" i="311"/>
  <c r="P368" i="311"/>
  <c r="P435" i="311"/>
  <c r="P345" i="311"/>
  <c r="P431" i="311"/>
  <c r="P421" i="311"/>
  <c r="P367" i="311"/>
  <c r="P283" i="311"/>
  <c r="P201" i="311"/>
  <c r="P316" i="311"/>
  <c r="P190" i="311"/>
  <c r="P308" i="311"/>
  <c r="P234" i="311"/>
  <c r="P323" i="311"/>
  <c r="P255" i="311"/>
  <c r="P346" i="311"/>
  <c r="P197" i="311"/>
  <c r="P382" i="311"/>
  <c r="P215" i="311"/>
  <c r="P414" i="311"/>
  <c r="P337" i="311"/>
  <c r="P251" i="311"/>
  <c r="P415" i="311"/>
  <c r="P334" i="311"/>
  <c r="P293" i="311"/>
  <c r="P446" i="311"/>
  <c r="P240" i="311"/>
  <c r="P406" i="311"/>
  <c r="P362" i="311"/>
  <c r="P258" i="311"/>
  <c r="P183" i="311"/>
  <c r="P96" i="311"/>
  <c r="P14" i="311"/>
  <c r="P341" i="311"/>
  <c r="P424" i="311"/>
  <c r="P298" i="311"/>
  <c r="P218" i="311"/>
  <c r="P130" i="311"/>
  <c r="P52" i="311"/>
  <c r="P111" i="311"/>
  <c r="P113" i="311"/>
  <c r="P228" i="311"/>
  <c r="P144" i="311"/>
  <c r="P69" i="311"/>
  <c r="P121" i="311"/>
  <c r="P139" i="311"/>
  <c r="P186" i="311"/>
  <c r="P349" i="311"/>
  <c r="P437" i="311"/>
  <c r="P229" i="311"/>
  <c r="P397" i="311"/>
  <c r="P370" i="311"/>
  <c r="P264" i="311"/>
  <c r="P187" i="311"/>
  <c r="P100" i="311"/>
  <c r="P18" i="311"/>
  <c r="P59" i="311"/>
  <c r="P49" i="311"/>
  <c r="P200" i="311"/>
  <c r="P114" i="311"/>
  <c r="P36" i="311"/>
  <c r="P107" i="311"/>
  <c r="P82" i="311"/>
  <c r="P104" i="311"/>
  <c r="P131" i="311"/>
  <c r="P150" i="311"/>
  <c r="P101" i="311"/>
  <c r="P250" i="311"/>
  <c r="P105" i="311"/>
  <c r="P224" i="311"/>
  <c r="P64" i="311"/>
  <c r="P174" i="311"/>
  <c r="P146" i="311"/>
  <c r="P7" i="311"/>
  <c r="P171" i="311"/>
  <c r="P12" i="311"/>
  <c r="P68" i="311"/>
  <c r="P42" i="311"/>
  <c r="P160" i="311"/>
  <c r="P115" i="311"/>
  <c r="P294" i="311"/>
  <c r="P436" i="311"/>
  <c r="P351" i="311"/>
  <c r="P267" i="311"/>
  <c r="P188" i="311"/>
  <c r="P286" i="311"/>
  <c r="P257" i="311"/>
  <c r="P422" i="311"/>
  <c r="P366" i="311"/>
  <c r="P256" i="311"/>
  <c r="P404" i="311"/>
  <c r="P327" i="311"/>
  <c r="P238" i="311"/>
  <c r="P388" i="311"/>
  <c r="P389" i="311" s="1"/>
  <c r="P393" i="311"/>
  <c r="P225" i="311"/>
  <c r="P358" i="311"/>
  <c r="P261" i="311"/>
  <c r="P430" i="311"/>
  <c r="P301" i="311"/>
  <c r="P405" i="311"/>
  <c r="P333" i="311"/>
  <c r="P320" i="311"/>
  <c r="P47" i="311"/>
  <c r="P45" i="311"/>
  <c r="P213" i="311"/>
  <c r="P126" i="311"/>
  <c r="P67" i="311"/>
  <c r="P20" i="311"/>
  <c r="P29" i="311"/>
  <c r="P21" i="311"/>
  <c r="P41" i="311"/>
  <c r="P35" i="311"/>
  <c r="P16" i="311"/>
  <c r="P179" i="311"/>
  <c r="P17" i="311"/>
  <c r="P83" i="311"/>
  <c r="P245" i="311"/>
  <c r="P449" i="311"/>
  <c r="P378" i="311"/>
  <c r="P221" i="311"/>
  <c r="P93" i="311"/>
  <c r="P120" i="311"/>
  <c r="P72" i="311"/>
  <c r="P30" i="311"/>
  <c r="P198" i="311"/>
  <c r="P398" i="311"/>
  <c r="P212" i="311"/>
  <c r="P158" i="311"/>
  <c r="P324" i="311"/>
  <c r="P287" i="311"/>
  <c r="P374" i="311"/>
  <c r="P246" i="311"/>
  <c r="P192" i="311"/>
  <c r="P357" i="311"/>
  <c r="P401" i="311"/>
  <c r="P448" i="311"/>
  <c r="P392" i="311"/>
  <c r="P409" i="311"/>
  <c r="P440" i="311"/>
  <c r="P311" i="311"/>
  <c r="P290" i="311"/>
  <c r="P184" i="311"/>
  <c r="P347" i="311"/>
  <c r="P442" i="311"/>
  <c r="P354" i="311"/>
  <c r="P242" i="311"/>
  <c r="P410" i="311"/>
  <c r="P137" i="311"/>
  <c r="P125" i="311"/>
  <c r="P133" i="311"/>
  <c r="P89" i="311"/>
  <c r="P91" i="311"/>
  <c r="P185" i="311"/>
  <c r="P169" i="311"/>
  <c r="P110" i="311"/>
  <c r="P22" i="311"/>
  <c r="P74" i="311"/>
  <c r="P98" i="311"/>
  <c r="P11" i="311"/>
  <c r="P170" i="311"/>
  <c r="P165" i="311"/>
  <c r="P330" i="311"/>
  <c r="P275" i="311"/>
  <c r="P385" i="311"/>
  <c r="P99" i="311"/>
  <c r="P48" i="311"/>
  <c r="P211" i="311"/>
  <c r="P78" i="311"/>
  <c r="P80" i="311" s="1"/>
  <c r="P108" i="311"/>
  <c r="P276" i="311"/>
  <c r="P377" i="311"/>
  <c r="P75" i="311"/>
  <c r="P239" i="311"/>
  <c r="P447" i="311"/>
  <c r="P412" i="311"/>
  <c r="P296" i="311"/>
  <c r="P271" i="311"/>
  <c r="P450" i="311"/>
  <c r="P299" i="311"/>
  <c r="P277" i="311"/>
  <c r="P343" i="311"/>
  <c r="P319" i="311"/>
  <c r="T74" i="184"/>
  <c r="J22" i="184"/>
  <c r="E23" i="184"/>
  <c r="O60" i="184"/>
  <c r="F118" i="184"/>
  <c r="J115" i="184"/>
  <c r="B118" i="184"/>
  <c r="O74" i="184"/>
  <c r="H118" i="184"/>
  <c r="R118" i="184"/>
  <c r="Y60" i="184"/>
  <c r="J60" i="184"/>
  <c r="T98" i="184"/>
  <c r="I103" i="184"/>
  <c r="O103" i="184" s="1"/>
  <c r="P118" i="184"/>
  <c r="D118" i="184"/>
  <c r="I80" i="184"/>
  <c r="J91" i="184"/>
  <c r="K118" i="184"/>
  <c r="Q118" i="184"/>
  <c r="O67" i="184"/>
  <c r="C118" i="184"/>
  <c r="V118" i="184"/>
  <c r="O98" i="184"/>
  <c r="U118" i="184"/>
  <c r="W118" i="184"/>
  <c r="T102" i="184"/>
  <c r="S80" i="184"/>
  <c r="J98" i="184"/>
  <c r="L118" i="184"/>
  <c r="O22" i="184"/>
  <c r="E103" i="184"/>
  <c r="O38" i="184"/>
  <c r="T115" i="184"/>
  <c r="N23" i="184"/>
  <c r="N80" i="184"/>
  <c r="Y22" i="184"/>
  <c r="Y115" i="184"/>
  <c r="T79" i="184"/>
  <c r="Y74" i="184"/>
  <c r="E43" i="184"/>
  <c r="Y79" i="184"/>
  <c r="O115" i="184"/>
  <c r="S103" i="184"/>
  <c r="T103" i="184" s="1"/>
  <c r="Y91" i="184"/>
  <c r="T52" i="184"/>
  <c r="Y52" i="184"/>
  <c r="T91" i="184"/>
  <c r="X80" i="184"/>
  <c r="AD80" i="184" s="1"/>
  <c r="AD60" i="184"/>
  <c r="T99" i="185"/>
  <c r="S110" i="185"/>
  <c r="Y99" i="185"/>
  <c r="K66" i="274"/>
  <c r="M66" i="274"/>
  <c r="I66" i="274"/>
  <c r="H138" i="274"/>
  <c r="D63" i="159"/>
  <c r="B129" i="159"/>
  <c r="D129" i="159" s="1"/>
  <c r="C132" i="196"/>
  <c r="D66" i="196"/>
  <c r="O105" i="274"/>
  <c r="M105" i="274"/>
  <c r="L138" i="274"/>
  <c r="M53" i="29"/>
  <c r="K53" i="29"/>
  <c r="J22" i="160"/>
  <c r="O22" i="160"/>
  <c r="J138" i="274"/>
  <c r="K131" i="274"/>
  <c r="M131" i="274"/>
  <c r="O131" i="274"/>
  <c r="W35" i="274"/>
  <c r="O35" i="274"/>
  <c r="S131" i="274"/>
  <c r="Q105" i="274"/>
  <c r="E102" i="161"/>
  <c r="J102" i="161" s="1"/>
  <c r="S118" i="183"/>
  <c r="T34" i="310"/>
  <c r="V34" i="310" s="1"/>
  <c r="W7" i="310" s="1"/>
  <c r="X23" i="184"/>
  <c r="AD23" i="184" s="1"/>
  <c r="AD16" i="184"/>
  <c r="O80" i="183"/>
  <c r="T22" i="184"/>
  <c r="Y98" i="184"/>
  <c r="AD98" i="184"/>
  <c r="L129" i="159"/>
  <c r="J129" i="159"/>
  <c r="J21" i="161"/>
  <c r="I22" i="161"/>
  <c r="O21" i="161"/>
  <c r="X43" i="184"/>
  <c r="AD43" i="184" s="1"/>
  <c r="AD38" i="184"/>
  <c r="S27" i="37"/>
  <c r="J43" i="183"/>
  <c r="E118" i="183"/>
  <c r="J118" i="183" s="1"/>
  <c r="J74" i="184"/>
  <c r="E80" i="184"/>
  <c r="J97" i="161"/>
  <c r="O97" i="161"/>
  <c r="I105" i="274"/>
  <c r="F138" i="274"/>
  <c r="G138" i="274" s="1"/>
  <c r="Q131" i="274"/>
  <c r="X103" i="184"/>
  <c r="L66" i="196"/>
  <c r="J66" i="196"/>
  <c r="I132" i="196"/>
  <c r="E15" i="122"/>
  <c r="V34" i="309"/>
  <c r="W33" i="309" s="1"/>
  <c r="AD21" i="161"/>
  <c r="Y21" i="161"/>
  <c r="O80" i="160"/>
  <c r="J66" i="161"/>
  <c r="AD22" i="160"/>
  <c r="Y22" i="160"/>
  <c r="AD15" i="161"/>
  <c r="X22" i="161"/>
  <c r="AD102" i="160"/>
  <c r="X117" i="160"/>
  <c r="AD37" i="161"/>
  <c r="X42" i="161"/>
  <c r="AD42" i="161" s="1"/>
  <c r="AD42" i="160"/>
  <c r="Y42" i="160"/>
  <c r="Y102" i="160"/>
  <c r="O73" i="161"/>
  <c r="J73" i="161"/>
  <c r="Y66" i="161"/>
  <c r="AD66" i="161"/>
  <c r="T16" i="184"/>
  <c r="Y16" i="184"/>
  <c r="S23" i="184"/>
  <c r="N102" i="161"/>
  <c r="T102" i="161" s="1"/>
  <c r="O91" i="161"/>
  <c r="S43" i="184"/>
  <c r="T38" i="184"/>
  <c r="Y38" i="184"/>
  <c r="T42" i="161"/>
  <c r="Y118" i="183"/>
  <c r="T118" i="183"/>
  <c r="T43" i="183"/>
  <c r="Y43" i="183"/>
  <c r="J79" i="161"/>
  <c r="E80" i="161"/>
  <c r="J80" i="161" s="1"/>
  <c r="Y23" i="183"/>
  <c r="T23" i="183"/>
  <c r="Y111" i="308"/>
  <c r="AA111" i="308"/>
  <c r="T52" i="161"/>
  <c r="Y52" i="161"/>
  <c r="S80" i="161"/>
  <c r="S117" i="161" s="1"/>
  <c r="O43" i="184"/>
  <c r="O102" i="160"/>
  <c r="J102" i="160"/>
  <c r="I117" i="160"/>
  <c r="O16" i="184"/>
  <c r="I23" i="184"/>
  <c r="O23" i="184" s="1"/>
  <c r="J16" i="184"/>
  <c r="T37" i="161"/>
  <c r="Y37" i="161"/>
  <c r="T73" i="161"/>
  <c r="Y73" i="161"/>
  <c r="T67" i="184"/>
  <c r="Y67" i="184"/>
  <c r="O138" i="274"/>
  <c r="U138" i="274"/>
  <c r="W138" i="274"/>
  <c r="S138" i="274"/>
  <c r="Q138" i="274"/>
  <c r="O29" i="308"/>
  <c r="N111" i="308"/>
  <c r="S111" i="308" s="1"/>
  <c r="Q29" i="308"/>
  <c r="Y80" i="183"/>
  <c r="T80" i="183"/>
  <c r="Y102" i="161"/>
  <c r="I117" i="161"/>
  <c r="O80" i="161"/>
  <c r="Y114" i="161"/>
  <c r="J103" i="184"/>
  <c r="J110" i="185" l="1"/>
  <c r="O110" i="185"/>
  <c r="N118" i="184"/>
  <c r="P313" i="311"/>
  <c r="T110" i="185"/>
  <c r="T74" i="186"/>
  <c r="O74" i="186"/>
  <c r="Y110" i="185"/>
  <c r="Y21" i="186"/>
  <c r="O21" i="186"/>
  <c r="J74" i="186"/>
  <c r="X110" i="186"/>
  <c r="AD110" i="186" s="1"/>
  <c r="AD74" i="186"/>
  <c r="E110" i="186"/>
  <c r="Y74" i="186"/>
  <c r="N110" i="186"/>
  <c r="T99" i="186"/>
  <c r="J38" i="186"/>
  <c r="T38" i="186"/>
  <c r="Y38" i="186"/>
  <c r="J21" i="186"/>
  <c r="T21" i="186"/>
  <c r="S110" i="186"/>
  <c r="Y99" i="186"/>
  <c r="O99" i="186"/>
  <c r="I110" i="186"/>
  <c r="J99" i="186"/>
  <c r="P386" i="311"/>
  <c r="P43" i="311"/>
  <c r="P325" i="311"/>
  <c r="P155" i="311"/>
  <c r="P176" i="311"/>
  <c r="P123" i="311"/>
  <c r="P62" i="311"/>
  <c r="P259" i="311"/>
  <c r="P432" i="311"/>
  <c r="P309" i="311"/>
  <c r="P76" i="311"/>
  <c r="P118" i="311"/>
  <c r="P359" i="311"/>
  <c r="P265" i="311"/>
  <c r="P352" i="311"/>
  <c r="P162" i="311"/>
  <c r="P202" i="311"/>
  <c r="P278" i="311"/>
  <c r="P331" i="311"/>
  <c r="P172" i="311"/>
  <c r="P135" i="311"/>
  <c r="P243" i="311"/>
  <c r="P193" i="311"/>
  <c r="P419" i="311"/>
  <c r="P291" i="311"/>
  <c r="P180" i="311"/>
  <c r="P128" i="311"/>
  <c r="P148" i="311"/>
  <c r="P425" i="311"/>
  <c r="P231" i="311"/>
  <c r="P407" i="311"/>
  <c r="P321" i="311"/>
  <c r="P272" i="311"/>
  <c r="P284" i="311"/>
  <c r="P142" i="311"/>
  <c r="P248" i="311"/>
  <c r="P50" i="311"/>
  <c r="P23" i="311"/>
  <c r="P338" i="311"/>
  <c r="P444" i="311"/>
  <c r="P38" i="311"/>
  <c r="Y80" i="184"/>
  <c r="J80" i="184"/>
  <c r="O80" i="184"/>
  <c r="E118" i="184"/>
  <c r="J43" i="184"/>
  <c r="T80" i="184"/>
  <c r="X118" i="184"/>
  <c r="AD118" i="184" s="1"/>
  <c r="M138" i="274"/>
  <c r="D132" i="196"/>
  <c r="F132" i="196"/>
  <c r="S118" i="184"/>
  <c r="Y118" i="184" s="1"/>
  <c r="J22" i="161"/>
  <c r="O22" i="161"/>
  <c r="K138" i="274"/>
  <c r="Y103" i="184"/>
  <c r="AD103" i="184"/>
  <c r="I138" i="274"/>
  <c r="L132" i="196"/>
  <c r="J132" i="196"/>
  <c r="W19" i="310"/>
  <c r="W10" i="310"/>
  <c r="W32" i="310"/>
  <c r="W22" i="310"/>
  <c r="W11" i="310"/>
  <c r="W21" i="310"/>
  <c r="W18" i="310"/>
  <c r="W8" i="310"/>
  <c r="W31" i="310"/>
  <c r="W28" i="310"/>
  <c r="W25" i="310"/>
  <c r="W26" i="310"/>
  <c r="W12" i="310"/>
  <c r="W33" i="310"/>
  <c r="W9" i="310"/>
  <c r="W14" i="310"/>
  <c r="W13" i="310"/>
  <c r="W27" i="310"/>
  <c r="W24" i="310"/>
  <c r="W29" i="310"/>
  <c r="W23" i="310"/>
  <c r="W16" i="310"/>
  <c r="W30" i="310"/>
  <c r="W15" i="310"/>
  <c r="W17" i="310"/>
  <c r="W15" i="309"/>
  <c r="W32" i="309"/>
  <c r="W25" i="309"/>
  <c r="W23" i="309"/>
  <c r="W10" i="309"/>
  <c r="W17" i="309"/>
  <c r="W9" i="309"/>
  <c r="W16" i="309"/>
  <c r="W22" i="309"/>
  <c r="W13" i="309"/>
  <c r="W31" i="309"/>
  <c r="W7" i="309"/>
  <c r="W19" i="309"/>
  <c r="W34" i="309" s="1"/>
  <c r="W14" i="309"/>
  <c r="W28" i="309"/>
  <c r="W11" i="309"/>
  <c r="W27" i="309"/>
  <c r="W26" i="309"/>
  <c r="W18" i="309"/>
  <c r="W8" i="309"/>
  <c r="W21" i="309"/>
  <c r="W30" i="309"/>
  <c r="W24" i="309"/>
  <c r="W12" i="309"/>
  <c r="W29" i="309"/>
  <c r="E117" i="161"/>
  <c r="J117" i="161" s="1"/>
  <c r="X117" i="161"/>
  <c r="AD117" i="161" s="1"/>
  <c r="Y42" i="161"/>
  <c r="AD117" i="160"/>
  <c r="Y117" i="160"/>
  <c r="AD22" i="161"/>
  <c r="Y22" i="161"/>
  <c r="T23" i="184"/>
  <c r="Y23" i="184"/>
  <c r="Y117" i="161"/>
  <c r="Y43" i="184"/>
  <c r="T43" i="184"/>
  <c r="O102" i="161"/>
  <c r="N117" i="161"/>
  <c r="T117" i="161" s="1"/>
  <c r="O111" i="308"/>
  <c r="U111" i="308"/>
  <c r="Q111" i="308"/>
  <c r="J117" i="160"/>
  <c r="O117" i="160"/>
  <c r="I118" i="184"/>
  <c r="J23" i="184"/>
  <c r="W111" i="308"/>
  <c r="T80" i="161"/>
  <c r="Y80" i="161"/>
  <c r="T110" i="186" l="1"/>
  <c r="Y110" i="186"/>
  <c r="O110" i="186"/>
  <c r="J110" i="186"/>
  <c r="J118" i="184"/>
  <c r="T118" i="184"/>
  <c r="O118" i="184"/>
  <c r="W34" i="310"/>
  <c r="O117" i="161"/>
  <c r="P6" i="311"/>
  <c r="P9" i="311" s="1"/>
  <c r="P445" i="311" s="1"/>
  <c r="P452" i="311" s="1"/>
</calcChain>
</file>

<file path=xl/comments1.xml><?xml version="1.0" encoding="utf-8"?>
<comments xmlns="http://schemas.openxmlformats.org/spreadsheetml/2006/main">
  <authors>
    <author>Mac Kirkpatrick</author>
  </authors>
  <commentList>
    <comment ref="A35" authorId="0" shapeId="0">
      <text>
        <r>
          <rPr>
            <b/>
            <sz val="9"/>
            <color indexed="81"/>
            <rFont val="Tahoma"/>
            <family val="2"/>
          </rPr>
          <t>Mac Kirkpatrick:</t>
        </r>
        <r>
          <rPr>
            <sz val="9"/>
            <color indexed="81"/>
            <rFont val="Tahoma"/>
            <family val="2"/>
          </rPr>
          <t xml:space="preserve">
USC Beaufort was approved to move from 2‐ to 4‐year status in June 2002.</t>
        </r>
      </text>
    </comment>
  </commentList>
</comments>
</file>

<file path=xl/comments10.xml><?xml version="1.0" encoding="utf-8"?>
<comments xmlns="http://schemas.openxmlformats.org/spreadsheetml/2006/main">
  <authors>
    <author>mkirkpat</author>
    <author>A satisfied Microsoft Office user</author>
  </authors>
  <commentList>
    <comment ref="A16" authorId="0" shapeId="0">
      <text>
        <r>
          <rPr>
            <b/>
            <sz val="8"/>
            <color indexed="81"/>
            <rFont val="Tahoma"/>
            <family val="2"/>
          </rPr>
          <t xml:space="preserve">Mac Kirkpatrick: </t>
        </r>
        <r>
          <rPr>
            <sz val="8"/>
            <color indexed="81"/>
            <rFont val="Tahoma"/>
            <family val="2"/>
          </rPr>
          <t xml:space="preserve">The Electronic Art Minor was first offered in the 1991-1992 Academic Year.
</t>
        </r>
      </text>
    </comment>
    <comment ref="A18" authorId="0" shapeId="0">
      <text>
        <r>
          <rPr>
            <sz val="8"/>
            <color indexed="81"/>
            <rFont val="Tahoma"/>
            <family val="2"/>
          </rPr>
          <t>Mac Kirkpatrick: The Applied Emphasis Minor was approved by the CHE in January of 1999.</t>
        </r>
        <r>
          <rPr>
            <sz val="8"/>
            <color indexed="81"/>
            <rFont val="Tahoma"/>
            <family val="2"/>
          </rPr>
          <t xml:space="preserve">
</t>
        </r>
      </text>
    </comment>
    <comment ref="B23" authorId="1" shapeId="0">
      <text>
        <r>
          <rPr>
            <sz val="8"/>
            <color indexed="81"/>
            <rFont val="Tahoma"/>
            <family val="2"/>
          </rPr>
          <t xml:space="preserve">Since the Catalog states that we have a Mass Media minor rather than a Journalism minor all students from the latter have been put in the former minor for the Fall 1991, 1992 and 1993. </t>
        </r>
      </text>
    </comment>
    <comment ref="A28" authorId="1" shapeId="0">
      <text>
        <r>
          <rPr>
            <b/>
            <sz val="8"/>
            <color indexed="8"/>
            <rFont val="Tahoma"/>
            <family val="2"/>
          </rPr>
          <t>Mac Kirkpatrick:</t>
        </r>
        <r>
          <rPr>
            <sz val="8"/>
            <color indexed="8"/>
            <rFont val="Tahoma"/>
            <family val="2"/>
          </rPr>
          <t xml:space="preserve">  Since the Catalog states that we have a Mass Media minor rather than a Journalism minor all students from the latter have been put in the former minor for the Fall 1991, 1992 and 1993. </t>
        </r>
      </text>
    </comment>
    <comment ref="B28" authorId="1" shapeId="0">
      <text>
        <r>
          <rPr>
            <sz val="8"/>
            <color indexed="81"/>
            <rFont val="Tahoma"/>
            <family val="2"/>
          </rPr>
          <t>Philosophy-Religion minor deleted by Faculty Senate action in Fall 1996.</t>
        </r>
      </text>
    </comment>
    <comment ref="A34" authorId="1" shapeId="0">
      <text>
        <r>
          <rPr>
            <sz val="8"/>
            <color indexed="8"/>
            <rFont val="Tahoma"/>
            <family val="2"/>
          </rPr>
          <t>Philosophy-Religion minor deleted by Faculty Senate action in Fall 1996.</t>
        </r>
      </text>
    </comment>
  </commentList>
</comments>
</file>

<file path=xl/comments11.xml><?xml version="1.0" encoding="utf-8"?>
<comments xmlns="http://schemas.openxmlformats.org/spreadsheetml/2006/main">
  <authors>
    <author>mkirkpatrick</author>
  </authors>
  <commentList>
    <comment ref="A1" authorId="0" shapeId="0">
      <text>
        <r>
          <rPr>
            <b/>
            <sz val="8"/>
            <color indexed="81"/>
            <rFont val="Tahoma"/>
            <family val="2"/>
          </rPr>
          <t xml:space="preserve">Mac Kirkpatrick: 
</t>
        </r>
        <r>
          <rPr>
            <sz val="8"/>
            <color indexed="81"/>
            <rFont val="Tahoma"/>
            <family val="2"/>
          </rPr>
          <t xml:space="preserve">These 4 year averages are from 
1996-1999 (3/22/06).
</t>
        </r>
      </text>
    </comment>
  </commentList>
</comments>
</file>

<file path=xl/comments2.xml><?xml version="1.0" encoding="utf-8"?>
<comments xmlns="http://schemas.openxmlformats.org/spreadsheetml/2006/main">
  <authors>
    <author>mkirkpat</author>
    <author>mkirkpatrick</author>
  </authors>
  <commentList>
    <comment ref="A48" authorId="0" shapeId="0">
      <text>
        <r>
          <rPr>
            <b/>
            <sz val="8"/>
            <color indexed="81"/>
            <rFont val="Tahoma"/>
            <family val="2"/>
          </rPr>
          <t xml:space="preserve">Mac Kirkpatrick: </t>
        </r>
        <r>
          <rPr>
            <sz val="8"/>
            <color indexed="81"/>
            <rFont val="Tahoma"/>
            <family val="2"/>
          </rPr>
          <t xml:space="preserve">The Pre-Law concentration for History was approved 
by the CHEF in March 1999. </t>
        </r>
      </text>
    </comment>
    <comment ref="A52" authorId="1" shapeId="0">
      <text>
        <r>
          <rPr>
            <b/>
            <sz val="8"/>
            <color indexed="81"/>
            <rFont val="Tahoma"/>
            <family val="2"/>
          </rPr>
          <t xml:space="preserve">Mac Kirkpatrick:  The Speech and Theatre emphasis was discontinued as of May 22, 2003 (12/5/03). </t>
        </r>
        <r>
          <rPr>
            <sz val="8"/>
            <color indexed="81"/>
            <rFont val="Tahoma"/>
            <family val="2"/>
          </rPr>
          <t xml:space="preserve">
</t>
        </r>
      </text>
    </comment>
    <comment ref="A83" authorId="1" shapeId="0">
      <text>
        <r>
          <rPr>
            <b/>
            <sz val="8"/>
            <color indexed="81"/>
            <rFont val="Tahoma"/>
            <family val="2"/>
          </rPr>
          <t>Mac Kirkpatrick:  This program name was changed from Sports Medicine/Athletic Training to Athletic Training. Approved by the CHE in November 2002 (9/2/03).</t>
        </r>
      </text>
    </comment>
    <comment ref="K93" authorId="1" shapeId="0">
      <text>
        <r>
          <rPr>
            <b/>
            <sz val="8"/>
            <color indexed="81"/>
            <rFont val="Tahoma"/>
            <family val="2"/>
          </rPr>
          <t>mkirkpatrick:</t>
        </r>
        <r>
          <rPr>
            <sz val="8"/>
            <color indexed="81"/>
            <rFont val="Tahoma"/>
            <family val="2"/>
          </rPr>
          <t xml:space="preserve">
As of Fall 2012, no more programs offered at University Center in Greenville</t>
        </r>
      </text>
    </comment>
    <comment ref="K95" authorId="1" shapeId="0">
      <text>
        <r>
          <rPr>
            <b/>
            <sz val="8"/>
            <color indexed="81"/>
            <rFont val="Tahoma"/>
            <family val="2"/>
          </rPr>
          <t>mkirkpatrick:</t>
        </r>
        <r>
          <rPr>
            <sz val="8"/>
            <color indexed="81"/>
            <rFont val="Tahoma"/>
            <family val="2"/>
          </rPr>
          <t xml:space="preserve">
As of Fall 2012, no more programs offered at University Center in Greenville</t>
        </r>
      </text>
    </comment>
    <comment ref="A106" authorId="1" shapeId="0">
      <text>
        <r>
          <rPr>
            <b/>
            <sz val="8"/>
            <color indexed="81"/>
            <rFont val="Tahoma"/>
            <family val="2"/>
          </rPr>
          <t>Mac Kirkpatrick:  This is a new certificate for 12 hours offered for the first time in Fall 2003 (12/5/03) mk.</t>
        </r>
      </text>
    </comment>
    <comment ref="K110" authorId="1" shapeId="0">
      <text>
        <r>
          <rPr>
            <b/>
            <sz val="8"/>
            <color indexed="81"/>
            <rFont val="Tahoma"/>
            <family val="2"/>
          </rPr>
          <t>mkirkpatrick:</t>
        </r>
        <r>
          <rPr>
            <sz val="8"/>
            <color indexed="81"/>
            <rFont val="Tahoma"/>
            <family val="2"/>
          </rPr>
          <t xml:space="preserve">
As of Fall 2012, no more programs offered at University Center in Greenville</t>
        </r>
      </text>
    </comment>
    <comment ref="A113" authorId="0" shapeId="0">
      <text>
        <r>
          <rPr>
            <b/>
            <sz val="8"/>
            <color indexed="81"/>
            <rFont val="Tahoma"/>
            <family val="2"/>
          </rPr>
          <t xml:space="preserve">Mac Kirkpatrick: </t>
        </r>
        <r>
          <rPr>
            <sz val="8"/>
            <color indexed="81"/>
            <rFont val="Tahoma"/>
            <family val="2"/>
          </rPr>
          <t>The Pre-Law concentration for Political Science was approved by the CHE in March 1999.</t>
        </r>
        <r>
          <rPr>
            <sz val="8"/>
            <color indexed="81"/>
            <rFont val="Tahoma"/>
            <family val="2"/>
          </rPr>
          <t xml:space="preserve">
</t>
        </r>
      </text>
    </comment>
    <comment ref="K114" authorId="1" shapeId="0">
      <text>
        <r>
          <rPr>
            <b/>
            <sz val="8"/>
            <color indexed="81"/>
            <rFont val="Tahoma"/>
            <family val="2"/>
          </rPr>
          <t>mkirkpatrick:</t>
        </r>
        <r>
          <rPr>
            <sz val="8"/>
            <color indexed="81"/>
            <rFont val="Tahoma"/>
            <family val="2"/>
          </rPr>
          <t xml:space="preserve">
As of Fall 2012, no more programs offered at University Center in Greenville</t>
        </r>
      </text>
    </comment>
    <comment ref="K116" authorId="1" shapeId="0">
      <text>
        <r>
          <rPr>
            <b/>
            <sz val="8"/>
            <color indexed="81"/>
            <rFont val="Tahoma"/>
            <family val="2"/>
          </rPr>
          <t>mkirkpatrick:</t>
        </r>
        <r>
          <rPr>
            <sz val="8"/>
            <color indexed="81"/>
            <rFont val="Tahoma"/>
            <family val="2"/>
          </rPr>
          <t xml:space="preserve">
As of Fall 2012, no more programs offered at University Center in Greenville</t>
        </r>
      </text>
    </comment>
    <comment ref="K118" authorId="1" shapeId="0">
      <text>
        <r>
          <rPr>
            <b/>
            <sz val="8"/>
            <color indexed="81"/>
            <rFont val="Tahoma"/>
            <family val="2"/>
          </rPr>
          <t>mkirkpatrick:</t>
        </r>
        <r>
          <rPr>
            <sz val="8"/>
            <color indexed="81"/>
            <rFont val="Tahoma"/>
            <family val="2"/>
          </rPr>
          <t xml:space="preserve">
As of Fall 2012, no more programs offered at University Center in Greenville</t>
        </r>
      </text>
    </comment>
    <comment ref="K120" authorId="1" shapeId="0">
      <text>
        <r>
          <rPr>
            <b/>
            <sz val="8"/>
            <color indexed="81"/>
            <rFont val="Tahoma"/>
            <family val="2"/>
          </rPr>
          <t>mkirkpatrick:</t>
        </r>
        <r>
          <rPr>
            <sz val="8"/>
            <color indexed="81"/>
            <rFont val="Tahoma"/>
            <family val="2"/>
          </rPr>
          <t xml:space="preserve">
As of Fall 2012, no more programs offered at University Center in Greenville</t>
        </r>
      </text>
    </comment>
  </commentList>
</comments>
</file>

<file path=xl/comments3.xml><?xml version="1.0" encoding="utf-8"?>
<comments xmlns="http://schemas.openxmlformats.org/spreadsheetml/2006/main">
  <authors>
    <author>mkirkpatrick</author>
    <author>mkirkpat</author>
  </authors>
  <commentList>
    <comment ref="A25" authorId="0" shapeId="0">
      <text>
        <r>
          <rPr>
            <b/>
            <sz val="8"/>
            <color indexed="81"/>
            <rFont val="Tahoma"/>
            <family val="2"/>
          </rPr>
          <t>These students are now considered undeclared majors and are reported below (mk 9/3/2012).</t>
        </r>
      </text>
    </comment>
    <comment ref="J26" authorId="0" shapeId="0">
      <text>
        <r>
          <rPr>
            <b/>
            <sz val="8"/>
            <color indexed="81"/>
            <rFont val="Tahoma"/>
            <family val="2"/>
          </rPr>
          <t>Mac Kirkpatrick:  As per Dr. Scales: to date, all RN to BSN students have been ON-LINE students (7/2/03).</t>
        </r>
        <r>
          <rPr>
            <sz val="8"/>
            <color indexed="81"/>
            <rFont val="Tahoma"/>
            <family val="2"/>
          </rPr>
          <t xml:space="preserve">
</t>
        </r>
      </text>
    </comment>
    <comment ref="L26" authorId="0" shapeId="0">
      <text>
        <r>
          <rPr>
            <b/>
            <sz val="8"/>
            <color indexed="81"/>
            <rFont val="Tahoma"/>
            <family val="2"/>
          </rPr>
          <t>Mac Kirkpatrick:  As per Dr. Scales: to date, all RN to BSN students have been ON-LINE students (7/2/03).</t>
        </r>
        <r>
          <rPr>
            <sz val="8"/>
            <color indexed="81"/>
            <rFont val="Tahoma"/>
            <family val="2"/>
          </rPr>
          <t xml:space="preserve">
</t>
        </r>
      </text>
    </comment>
    <comment ref="N26" authorId="0" shapeId="0">
      <text>
        <r>
          <rPr>
            <b/>
            <sz val="8"/>
            <color indexed="81"/>
            <rFont val="Tahoma"/>
            <family val="2"/>
          </rPr>
          <t>Mac Kirkpatrick:  As per Dr. Scales: to date, all RN to BSN students have been ON-LINE students (7/2/03).</t>
        </r>
        <r>
          <rPr>
            <sz val="8"/>
            <color indexed="81"/>
            <rFont val="Tahoma"/>
            <family val="2"/>
          </rPr>
          <t xml:space="preserve">
</t>
        </r>
      </text>
    </comment>
    <comment ref="P26" authorId="0" shapeId="0">
      <text>
        <r>
          <rPr>
            <b/>
            <sz val="8"/>
            <color indexed="81"/>
            <rFont val="Tahoma"/>
            <family val="2"/>
          </rPr>
          <t>Mac Kirkpatrick:  As per Dr. Scales: to date, all RN to BSN students have been ON-LINE students (7/2/03).</t>
        </r>
        <r>
          <rPr>
            <sz val="8"/>
            <color indexed="81"/>
            <rFont val="Tahoma"/>
            <family val="2"/>
          </rPr>
          <t xml:space="preserve">
</t>
        </r>
      </text>
    </comment>
    <comment ref="R26" authorId="0" shapeId="0">
      <text>
        <r>
          <rPr>
            <b/>
            <sz val="8"/>
            <color indexed="81"/>
            <rFont val="Tahoma"/>
            <family val="2"/>
          </rPr>
          <t>Mac Kirkpatrick:  As per Dr. Scales: to date, all RN to BSN students have been ON-LINE students (7/2/03).</t>
        </r>
        <r>
          <rPr>
            <sz val="8"/>
            <color indexed="81"/>
            <rFont val="Tahoma"/>
            <family val="2"/>
          </rPr>
          <t xml:space="preserve">
</t>
        </r>
      </text>
    </comment>
    <comment ref="T26" authorId="0" shapeId="0">
      <text>
        <r>
          <rPr>
            <b/>
            <sz val="8"/>
            <color indexed="81"/>
            <rFont val="Tahoma"/>
            <family val="2"/>
          </rPr>
          <t>Mac Kirkpatrick:  As per Dr. Scales: to date, all RN to BSN students have been ON-LINE students (7/2/03).</t>
        </r>
        <r>
          <rPr>
            <sz val="8"/>
            <color indexed="81"/>
            <rFont val="Tahoma"/>
            <family val="2"/>
          </rPr>
          <t xml:space="preserve">
</t>
        </r>
      </text>
    </comment>
    <comment ref="V26" authorId="0" shapeId="0">
      <text>
        <r>
          <rPr>
            <b/>
            <sz val="8"/>
            <color indexed="81"/>
            <rFont val="Tahoma"/>
            <family val="2"/>
          </rPr>
          <t>Mac Kirkpatrick:  As per Dr. Scales: to date, all RN to BSN students have been ON-LINE students (7/2/03).</t>
        </r>
        <r>
          <rPr>
            <sz val="8"/>
            <color indexed="81"/>
            <rFont val="Tahoma"/>
            <family val="2"/>
          </rPr>
          <t xml:space="preserve">
</t>
        </r>
      </text>
    </comment>
    <comment ref="X26" authorId="0" shapeId="0">
      <text>
        <r>
          <rPr>
            <b/>
            <sz val="8"/>
            <color indexed="81"/>
            <rFont val="Tahoma"/>
            <family val="2"/>
          </rPr>
          <t>Mac Kirkpatrick:  As per Dr. Scales: to date, all RN to BSN students have been ON-LINE students (7/2/03).</t>
        </r>
        <r>
          <rPr>
            <sz val="8"/>
            <color indexed="81"/>
            <rFont val="Tahoma"/>
            <family val="2"/>
          </rPr>
          <t xml:space="preserve">
</t>
        </r>
      </text>
    </comment>
    <comment ref="Z26" authorId="0" shapeId="0">
      <text>
        <r>
          <rPr>
            <b/>
            <sz val="8"/>
            <color indexed="81"/>
            <rFont val="Tahoma"/>
            <family val="2"/>
          </rPr>
          <t>Mac Kirkpatrick:  As per Dr. Scales: to date, all RN to BSN students have been ON-LINE students (7/2/03).</t>
        </r>
        <r>
          <rPr>
            <sz val="8"/>
            <color indexed="81"/>
            <rFont val="Tahoma"/>
            <family val="2"/>
          </rPr>
          <t xml:space="preserve">
</t>
        </r>
      </text>
    </comment>
    <comment ref="AB26" authorId="0" shapeId="0">
      <text>
        <r>
          <rPr>
            <b/>
            <sz val="8"/>
            <color indexed="81"/>
            <rFont val="Tahoma"/>
            <family val="2"/>
          </rPr>
          <t>Mac Kirkpatrick:  As per Dr. Scales: to date, all RN to BSN students have been ON-LINE students (7/2/03).</t>
        </r>
        <r>
          <rPr>
            <sz val="8"/>
            <color indexed="81"/>
            <rFont val="Tahoma"/>
            <family val="2"/>
          </rPr>
          <t xml:space="preserve">
</t>
        </r>
      </text>
    </comment>
    <comment ref="AD26" authorId="0" shapeId="0">
      <text>
        <r>
          <rPr>
            <b/>
            <sz val="8"/>
            <color indexed="81"/>
            <rFont val="Tahoma"/>
            <family val="2"/>
          </rPr>
          <t>Mac Kirkpatrick:  As per Dr. Scales: to date, all RN to BSN students have been ON-LINE students (7/2/03).</t>
        </r>
        <r>
          <rPr>
            <sz val="8"/>
            <color indexed="81"/>
            <rFont val="Tahoma"/>
            <family val="2"/>
          </rPr>
          <t xml:space="preserve">
</t>
        </r>
      </text>
    </comment>
    <comment ref="A51" authorId="1" shapeId="0">
      <text>
        <r>
          <rPr>
            <b/>
            <sz val="8"/>
            <color indexed="81"/>
            <rFont val="Tahoma"/>
            <family val="2"/>
          </rPr>
          <t xml:space="preserve">Mac Kirkpatrick: </t>
        </r>
        <r>
          <rPr>
            <sz val="8"/>
            <color indexed="81"/>
            <rFont val="Tahoma"/>
            <family val="2"/>
          </rPr>
          <t xml:space="preserve">The Pre-Law concentration for History was approved 
by the CHEF in March 1999. </t>
        </r>
      </text>
    </comment>
    <comment ref="A55" authorId="0" shapeId="0">
      <text>
        <r>
          <rPr>
            <b/>
            <sz val="8"/>
            <color indexed="81"/>
            <rFont val="Tahoma"/>
            <family val="2"/>
          </rPr>
          <t xml:space="preserve">Mac Kirkpatrick:  The Speech and Theatre emphasis was discontinued as of May 22, 2003 (12/5/03). </t>
        </r>
        <r>
          <rPr>
            <sz val="8"/>
            <color indexed="81"/>
            <rFont val="Tahoma"/>
            <family val="2"/>
          </rPr>
          <t xml:space="preserve">
</t>
        </r>
      </text>
    </comment>
    <comment ref="A78" authorId="0" shapeId="0">
      <text>
        <r>
          <rPr>
            <b/>
            <sz val="12"/>
            <color indexed="81"/>
            <rFont val="Tahoma"/>
            <family val="2"/>
          </rPr>
          <t>This is to be offered at the University Center beginning Summer 2008 semester. (MK 12/14/07)</t>
        </r>
        <r>
          <rPr>
            <sz val="8"/>
            <color indexed="81"/>
            <rFont val="Tahoma"/>
            <family val="2"/>
          </rPr>
          <t xml:space="preserve">
</t>
        </r>
      </text>
    </comment>
    <comment ref="A90" authorId="0" shapeId="0">
      <text>
        <r>
          <rPr>
            <b/>
            <sz val="8"/>
            <color indexed="81"/>
            <rFont val="Tahoma"/>
            <family val="2"/>
          </rPr>
          <t>Mac Kirkpatrick:  This program name was changed from Sports Medicine/Athletic Training to Athletic Training. Approved by the CHE in November 2002 (9/2/03).</t>
        </r>
      </text>
    </comment>
    <comment ref="A114" authorId="0" shapeId="0">
      <text>
        <r>
          <rPr>
            <b/>
            <sz val="8"/>
            <color indexed="81"/>
            <rFont val="Tahoma"/>
            <family val="2"/>
          </rPr>
          <t>Mac Kirkpatrick:  This is a new certificate for 12 hours offered for the first time in Fall 2003 (12/5/03) mk.</t>
        </r>
      </text>
    </comment>
    <comment ref="A121" authorId="1" shapeId="0">
      <text>
        <r>
          <rPr>
            <b/>
            <sz val="8"/>
            <color indexed="81"/>
            <rFont val="Tahoma"/>
            <family val="2"/>
          </rPr>
          <t xml:space="preserve">Mac Kirkpatrick: </t>
        </r>
        <r>
          <rPr>
            <sz val="8"/>
            <color indexed="81"/>
            <rFont val="Tahoma"/>
            <family val="2"/>
          </rPr>
          <t>The Pre-Law concentration for Political Science was approved by the CHE in March 1999.</t>
        </r>
        <r>
          <rPr>
            <sz val="8"/>
            <color indexed="81"/>
            <rFont val="Tahoma"/>
            <family val="2"/>
          </rPr>
          <t xml:space="preserve">
</t>
        </r>
      </text>
    </comment>
  </commentList>
</comments>
</file>

<file path=xl/comments4.xml><?xml version="1.0" encoding="utf-8"?>
<comments xmlns="http://schemas.openxmlformats.org/spreadsheetml/2006/main">
  <authors>
    <author>A satisfied Microsoft Office user</author>
  </authors>
  <commentList>
    <comment ref="B30" authorId="0" shapeId="0">
      <text>
        <r>
          <rPr>
            <sz val="8"/>
            <color indexed="8"/>
            <rFont val="Tahoma"/>
            <family val="2"/>
          </rPr>
          <t xml:space="preserve">Since the Catalog states that we have a Mass Media minor rather than a Journalism minor all students from the latter have been put in the former minor for the Fall 1991, 1992 and 1993. </t>
        </r>
      </text>
    </comment>
    <comment ref="B36" authorId="0" shapeId="0">
      <text>
        <r>
          <rPr>
            <sz val="8"/>
            <color indexed="8"/>
            <rFont val="Tahoma"/>
            <family val="2"/>
          </rPr>
          <t>Philosophy-Religion minor deleted by Faculty Senate action in Fall 1996.</t>
        </r>
      </text>
    </comment>
    <comment ref="B43" authorId="0" shapeId="0">
      <text>
        <r>
          <rPr>
            <sz val="8"/>
            <color indexed="8"/>
            <rFont val="Tahoma"/>
            <family val="2"/>
          </rPr>
          <t>The Special Education minor no longer exists (it was deleted in 1994).</t>
        </r>
      </text>
    </comment>
  </commentList>
</comments>
</file>

<file path=xl/comments5.xml><?xml version="1.0" encoding="utf-8"?>
<comments xmlns="http://schemas.openxmlformats.org/spreadsheetml/2006/main">
  <authors>
    <author>mkirkpatrick</author>
    <author>mkirkpat</author>
  </authors>
  <commentList>
    <comment ref="B24" authorId="0" shapeId="0">
      <text>
        <r>
          <rPr>
            <b/>
            <sz val="8"/>
            <color indexed="81"/>
            <rFont val="Tahoma"/>
            <family val="2"/>
          </rPr>
          <t>Mac Kirkpatrick:  As per Dr. Scales: to date, all RN to BSN students have been ON-LINE students (7/2/03).</t>
        </r>
        <r>
          <rPr>
            <sz val="8"/>
            <color indexed="81"/>
            <rFont val="Tahoma"/>
            <family val="2"/>
          </rPr>
          <t xml:space="preserve">
</t>
        </r>
      </text>
    </comment>
    <comment ref="C24" authorId="0" shapeId="0">
      <text>
        <r>
          <rPr>
            <b/>
            <sz val="8"/>
            <color indexed="81"/>
            <rFont val="Tahoma"/>
            <family val="2"/>
          </rPr>
          <t>Mac Kirkpatrick:  As per Dr. Scales: to date, all RN to BSN students have been ON-LINE students (7/2/03).</t>
        </r>
        <r>
          <rPr>
            <sz val="8"/>
            <color indexed="81"/>
            <rFont val="Tahoma"/>
            <family val="2"/>
          </rPr>
          <t xml:space="preserve">
</t>
        </r>
      </text>
    </comment>
    <comment ref="E24" authorId="0" shapeId="0">
      <text>
        <r>
          <rPr>
            <b/>
            <sz val="8"/>
            <color indexed="81"/>
            <rFont val="Tahoma"/>
            <family val="2"/>
          </rPr>
          <t>Mac Kirkpatrick:  As per Dr. Scales: to date, all RN to BSN students have been ON-LINE students (7/2/03).</t>
        </r>
        <r>
          <rPr>
            <sz val="8"/>
            <color indexed="81"/>
            <rFont val="Tahoma"/>
            <family val="2"/>
          </rPr>
          <t xml:space="preserve">
</t>
        </r>
      </text>
    </comment>
    <comment ref="G24" authorId="0" shapeId="0">
      <text>
        <r>
          <rPr>
            <b/>
            <sz val="8"/>
            <color indexed="81"/>
            <rFont val="Tahoma"/>
            <family val="2"/>
          </rPr>
          <t>Mac Kirkpatrick:  As per Dr. Scales: to date, all RN to BSN students have been ON-LINE students (7/2/03).</t>
        </r>
        <r>
          <rPr>
            <sz val="8"/>
            <color indexed="81"/>
            <rFont val="Tahoma"/>
            <family val="2"/>
          </rPr>
          <t xml:space="preserve">
</t>
        </r>
      </text>
    </comment>
    <comment ref="I24" authorId="0" shapeId="0">
      <text>
        <r>
          <rPr>
            <b/>
            <sz val="8"/>
            <color indexed="81"/>
            <rFont val="Tahoma"/>
            <family val="2"/>
          </rPr>
          <t>Mac Kirkpatrick:  As per Dr. Scales: to date, all RN to BSN students have been ON-LINE students (7/2/03).</t>
        </r>
        <r>
          <rPr>
            <sz val="8"/>
            <color indexed="81"/>
            <rFont val="Tahoma"/>
            <family val="2"/>
          </rPr>
          <t xml:space="preserve">
</t>
        </r>
      </text>
    </comment>
    <comment ref="K24" authorId="0" shapeId="0">
      <text>
        <r>
          <rPr>
            <b/>
            <sz val="8"/>
            <color indexed="81"/>
            <rFont val="Tahoma"/>
            <family val="2"/>
          </rPr>
          <t>Mac Kirkpatrick:  As per Dr. Scales: to date, all RN to BSN students have been ON-LINE students (7/2/03).</t>
        </r>
        <r>
          <rPr>
            <sz val="8"/>
            <color indexed="81"/>
            <rFont val="Tahoma"/>
            <family val="2"/>
          </rPr>
          <t xml:space="preserve">
</t>
        </r>
      </text>
    </comment>
    <comment ref="A49" authorId="1" shapeId="0">
      <text>
        <r>
          <rPr>
            <b/>
            <sz val="8"/>
            <color indexed="81"/>
            <rFont val="Tahoma"/>
            <family val="2"/>
          </rPr>
          <t xml:space="preserve">Mac Kirkpatrick: </t>
        </r>
        <r>
          <rPr>
            <sz val="8"/>
            <color indexed="81"/>
            <rFont val="Tahoma"/>
            <family val="2"/>
          </rPr>
          <t xml:space="preserve">The Pre-Law concentration for History was approved 
by the CHEF in March 1999. </t>
        </r>
      </text>
    </comment>
    <comment ref="A72" authorId="0" shapeId="0">
      <text>
        <r>
          <rPr>
            <b/>
            <sz val="8"/>
            <color indexed="81"/>
            <rFont val="Tahoma"/>
            <family val="2"/>
          </rPr>
          <t>The M.Ed. In Montessori Education was approved by the CHE starting the Spring 2008 semester. (MK 7/2/08)</t>
        </r>
        <r>
          <rPr>
            <sz val="8"/>
            <color indexed="81"/>
            <rFont val="Tahoma"/>
            <family val="2"/>
          </rPr>
          <t xml:space="preserve">
</t>
        </r>
      </text>
    </comment>
    <comment ref="A73" authorId="0" shapeId="0">
      <text>
        <r>
          <rPr>
            <b/>
            <sz val="8"/>
            <color indexed="81"/>
            <rFont val="Tahoma"/>
            <family val="2"/>
          </rPr>
          <t>The M.Ed. In Montessori Education was approved by the CHE starting the Spring 2008 semester. (MK 7/2/08)</t>
        </r>
        <r>
          <rPr>
            <sz val="8"/>
            <color indexed="81"/>
            <rFont val="Tahoma"/>
            <family val="2"/>
          </rPr>
          <t xml:space="preserve">
</t>
        </r>
      </text>
    </comment>
    <comment ref="A74" authorId="0" shapeId="0">
      <text>
        <r>
          <rPr>
            <b/>
            <sz val="8"/>
            <color indexed="81"/>
            <rFont val="Tahoma"/>
            <family val="2"/>
          </rPr>
          <t>The M.Ed. In Montessori Education was approved by the CHE starting the Spring 2008 semester. (MK 7/2/08)</t>
        </r>
        <r>
          <rPr>
            <sz val="8"/>
            <color indexed="81"/>
            <rFont val="Tahoma"/>
            <family val="2"/>
          </rPr>
          <t xml:space="preserve">
</t>
        </r>
      </text>
    </comment>
    <comment ref="A86" authorId="0" shapeId="0">
      <text>
        <r>
          <rPr>
            <b/>
            <sz val="8"/>
            <color indexed="81"/>
            <rFont val="Tahoma"/>
            <family val="2"/>
          </rPr>
          <t>Mac Kirkpatrick:  This program name was changed from Sports Medicine/Athletic Training to Athletic Training. Approved by the CHE in November 2002 (9/2/03).</t>
        </r>
      </text>
    </comment>
    <comment ref="A111" authorId="0" shapeId="0">
      <text>
        <r>
          <rPr>
            <b/>
            <sz val="8"/>
            <color indexed="81"/>
            <rFont val="Tahoma"/>
            <family val="2"/>
          </rPr>
          <t>Mac Kirkpatrick:  This is a new certificate for 12 hours offered for the first time in Fall 2003 (12/5/03) mk.</t>
        </r>
      </text>
    </comment>
    <comment ref="A116" authorId="1" shapeId="0">
      <text>
        <r>
          <rPr>
            <b/>
            <sz val="8"/>
            <color indexed="81"/>
            <rFont val="Tahoma"/>
            <family val="2"/>
          </rPr>
          <t xml:space="preserve">Mac Kirkpatrick: </t>
        </r>
        <r>
          <rPr>
            <sz val="8"/>
            <color indexed="81"/>
            <rFont val="Tahoma"/>
            <family val="2"/>
          </rPr>
          <t>The Pre-Law concentration for Political Science was approved by the CHE in March 1999.</t>
        </r>
        <r>
          <rPr>
            <sz val="8"/>
            <color indexed="81"/>
            <rFont val="Tahoma"/>
            <family val="2"/>
          </rPr>
          <t xml:space="preserve">
</t>
        </r>
      </text>
    </comment>
  </commentList>
</comments>
</file>

<file path=xl/comments6.xml><?xml version="1.0" encoding="utf-8"?>
<comments xmlns="http://schemas.openxmlformats.org/spreadsheetml/2006/main">
  <authors>
    <author>mkirkpatrick</author>
    <author>mkirkpat</author>
  </authors>
  <commentList>
    <comment ref="C21" authorId="0" shapeId="0">
      <text>
        <r>
          <rPr>
            <b/>
            <sz val="8"/>
            <color indexed="81"/>
            <rFont val="Tahoma"/>
            <family val="2"/>
          </rPr>
          <t>Mac Kirkpatrick:  As per Dr. Scales: to date, all RN to BSN students have been ON-LINE students (7/2/03).</t>
        </r>
        <r>
          <rPr>
            <sz val="8"/>
            <color indexed="81"/>
            <rFont val="Tahoma"/>
            <family val="2"/>
          </rPr>
          <t xml:space="preserve">
</t>
        </r>
      </text>
    </comment>
    <comment ref="E21" authorId="0" shapeId="0">
      <text>
        <r>
          <rPr>
            <b/>
            <sz val="8"/>
            <color indexed="81"/>
            <rFont val="Tahoma"/>
            <family val="2"/>
          </rPr>
          <t>Mac Kirkpatrick:  As per Dr. Scales: to date, all RN to BSN students have been ON-LINE students (7/2/03).</t>
        </r>
        <r>
          <rPr>
            <sz val="8"/>
            <color indexed="81"/>
            <rFont val="Tahoma"/>
            <family val="2"/>
          </rPr>
          <t xml:space="preserve">
</t>
        </r>
      </text>
    </comment>
    <comment ref="A44" authorId="1" shapeId="0">
      <text>
        <r>
          <rPr>
            <b/>
            <sz val="8"/>
            <color indexed="81"/>
            <rFont val="Tahoma"/>
            <family val="2"/>
          </rPr>
          <t xml:space="preserve">Mac Kirkpatrick: </t>
        </r>
        <r>
          <rPr>
            <sz val="8"/>
            <color indexed="81"/>
            <rFont val="Tahoma"/>
            <family val="2"/>
          </rPr>
          <t xml:space="preserve">The Pre-Law concentration for History was approved 
by the CHEF in March 1999. </t>
        </r>
      </text>
    </comment>
    <comment ref="A49" authorId="0" shapeId="0">
      <text>
        <r>
          <rPr>
            <b/>
            <sz val="8"/>
            <color indexed="81"/>
            <rFont val="Tahoma"/>
            <family val="2"/>
          </rPr>
          <t xml:space="preserve">Mac Kirkpatrick:  The Speech and Theatre emphasis was discontinued as of May 22, 2003 (12/5/03). </t>
        </r>
        <r>
          <rPr>
            <sz val="8"/>
            <color indexed="81"/>
            <rFont val="Tahoma"/>
            <family val="2"/>
          </rPr>
          <t xml:space="preserve">
</t>
        </r>
      </text>
    </comment>
    <comment ref="A75" authorId="0" shapeId="0">
      <text>
        <r>
          <rPr>
            <b/>
            <sz val="8"/>
            <color indexed="81"/>
            <rFont val="Tahoma"/>
            <family val="2"/>
          </rPr>
          <t>Mac Kirkpatrick:  This program name was changed from Sports Medicine/Athletic Training to Athletic Training. Approved by the CHE in November 2002 (9/2/03).</t>
        </r>
      </text>
    </comment>
    <comment ref="A100" authorId="0" shapeId="0">
      <text>
        <r>
          <rPr>
            <b/>
            <sz val="8"/>
            <color indexed="81"/>
            <rFont val="Tahoma"/>
            <family val="2"/>
          </rPr>
          <t>Mac Kirkpatrick:  This is a new certificate for 12 hours offered for the first time in Fall 2003 (12/5/03) mk.</t>
        </r>
      </text>
    </comment>
    <comment ref="A106" authorId="1" shapeId="0">
      <text>
        <r>
          <rPr>
            <b/>
            <sz val="8"/>
            <color indexed="81"/>
            <rFont val="Tahoma"/>
            <family val="2"/>
          </rPr>
          <t xml:space="preserve">Mac Kirkpatrick: </t>
        </r>
        <r>
          <rPr>
            <sz val="8"/>
            <color indexed="81"/>
            <rFont val="Tahoma"/>
            <family val="2"/>
          </rPr>
          <t>The Pre-Law concentration for Political Science was approved by the CHE in March 1999.</t>
        </r>
        <r>
          <rPr>
            <sz val="8"/>
            <color indexed="81"/>
            <rFont val="Tahoma"/>
            <family val="2"/>
          </rPr>
          <t xml:space="preserve">
</t>
        </r>
      </text>
    </comment>
  </commentList>
</comments>
</file>

<file path=xl/comments7.xml><?xml version="1.0" encoding="utf-8"?>
<comments xmlns="http://schemas.openxmlformats.org/spreadsheetml/2006/main">
  <authors>
    <author>Mac Kirkpatrick</author>
    <author>mkirkpat</author>
    <author>mkirkpatrick</author>
  </authors>
  <commentList>
    <comment ref="C15" authorId="0" shapeId="0">
      <text>
        <r>
          <rPr>
            <b/>
            <sz val="8"/>
            <color indexed="81"/>
            <rFont val="Tahoma"/>
            <family val="2"/>
          </rPr>
          <t>Mac Kirkpatrick (10/29/02):</t>
        </r>
        <r>
          <rPr>
            <sz val="8"/>
            <color indexed="81"/>
            <rFont val="Tahoma"/>
            <family val="2"/>
          </rPr>
          <t xml:space="preserve">
I changed this number from 4 to 5, which will make the total degrees conferred change from 421 to 422. This is a result of a student who was awarded a Mathematics/Engineering dual degree from Clemson (248-69-6039, Leah Jane Hightower) AFTER I ran the degrees conferred.  Helen "held" this student out because she does not count the student UNTIL she receives the final transcript from Clemson University.</t>
        </r>
      </text>
    </comment>
    <comment ref="A42" authorId="1" shapeId="0">
      <text>
        <r>
          <rPr>
            <b/>
            <sz val="8"/>
            <color indexed="81"/>
            <rFont val="Tahoma"/>
            <family val="2"/>
          </rPr>
          <t xml:space="preserve">Mac Kirkpatrick: </t>
        </r>
        <r>
          <rPr>
            <sz val="8"/>
            <color indexed="81"/>
            <rFont val="Tahoma"/>
            <family val="2"/>
          </rPr>
          <t xml:space="preserve">The Pre-Law concentration for History was approved 
by the CHEF in March 1999. </t>
        </r>
      </text>
    </comment>
    <comment ref="A65" authorId="2" shapeId="0">
      <text>
        <r>
          <rPr>
            <b/>
            <sz val="8"/>
            <color indexed="81"/>
            <rFont val="Tahoma"/>
            <family val="2"/>
          </rPr>
          <t>Mac Kirkpatrick:  This program name was changed from Sports Medicine/Athletic Training to Athletic Training. Approved by the CHE in November 2002 (9/2/03).</t>
        </r>
      </text>
    </comment>
    <comment ref="A88" authorId="2" shapeId="0">
      <text>
        <r>
          <rPr>
            <b/>
            <sz val="8"/>
            <color indexed="81"/>
            <rFont val="Tahoma"/>
            <family val="2"/>
          </rPr>
          <t>Mac Kirkpatrick:  This is a new certificate for 12 hours offered for the first time in Fall 2003 (12/5/03) mk.</t>
        </r>
      </text>
    </comment>
  </commentList>
</comments>
</file>

<file path=xl/comments8.xml><?xml version="1.0" encoding="utf-8"?>
<comments xmlns="http://schemas.openxmlformats.org/spreadsheetml/2006/main">
  <authors>
    <author>Mac Kirkpatrick</author>
    <author>mkirkpat</author>
    <author>mkirkpatrick</author>
  </authors>
  <commentList>
    <comment ref="H16" authorId="0" shapeId="0">
      <text>
        <r>
          <rPr>
            <b/>
            <sz val="8"/>
            <color indexed="81"/>
            <rFont val="Tahoma"/>
            <family val="2"/>
          </rPr>
          <t>Mac Kirkpatrick (10/29/02):</t>
        </r>
        <r>
          <rPr>
            <sz val="8"/>
            <color indexed="81"/>
            <rFont val="Tahoma"/>
            <family val="2"/>
          </rPr>
          <t xml:space="preserve">
I changed this number from 4 to 5, which will make the total degrees conferred change from 421 to 422. This is a result of a student who was awarded a Mathematics/Engineering dual degree from Clemson (248-69-6039, Leah Jane Hightower) AFTER I ran the degrees conferred.  Helen "held" this student out because she does not count the student UNTIL she receives the final transcript from Clemson University.</t>
        </r>
      </text>
    </comment>
    <comment ref="A45" authorId="1" shapeId="0">
      <text>
        <r>
          <rPr>
            <b/>
            <sz val="8"/>
            <color indexed="81"/>
            <rFont val="Tahoma"/>
            <family val="2"/>
          </rPr>
          <t xml:space="preserve">Mac Kirkpatrick: </t>
        </r>
        <r>
          <rPr>
            <sz val="8"/>
            <color indexed="81"/>
            <rFont val="Tahoma"/>
            <family val="2"/>
          </rPr>
          <t xml:space="preserve">The Pre-Law concentration for History was approved 
by the CHEF in March 1999. </t>
        </r>
      </text>
    </comment>
    <comment ref="A72" authorId="2" shapeId="0">
      <text>
        <r>
          <rPr>
            <b/>
            <sz val="8"/>
            <color indexed="81"/>
            <rFont val="Tahoma"/>
            <family val="2"/>
          </rPr>
          <t>Mac Kirkpatrick:  This program name was changed from Sports Medicine/Athletic Training to Athletic Training. Approved by the CHE in November 2002 (9/2/03).</t>
        </r>
      </text>
    </comment>
    <comment ref="A95" authorId="2" shapeId="0">
      <text>
        <r>
          <rPr>
            <b/>
            <sz val="8"/>
            <color indexed="81"/>
            <rFont val="Tahoma"/>
            <family val="2"/>
          </rPr>
          <t>Mac Kirkpatrick:  This is a new certificate for 12 hours offered for the first time in Fall 2003 (12/5/03) mk.</t>
        </r>
      </text>
    </comment>
  </commentList>
</comments>
</file>

<file path=xl/comments9.xml><?xml version="1.0" encoding="utf-8"?>
<comments xmlns="http://schemas.openxmlformats.org/spreadsheetml/2006/main">
  <authors>
    <author>mkirkpat</author>
    <author>A satisfied Microsoft Office user</author>
  </authors>
  <commentList>
    <comment ref="A16" authorId="0" shapeId="0">
      <text>
        <r>
          <rPr>
            <b/>
            <sz val="8"/>
            <color indexed="81"/>
            <rFont val="Tahoma"/>
            <family val="2"/>
          </rPr>
          <t xml:space="preserve">Mac Kirkpatrick: </t>
        </r>
        <r>
          <rPr>
            <sz val="8"/>
            <color indexed="81"/>
            <rFont val="Tahoma"/>
            <family val="2"/>
          </rPr>
          <t xml:space="preserve">The Electronic Art Minor was first offered in the 1991-1992 Academic Year.
</t>
        </r>
      </text>
    </comment>
    <comment ref="A18" authorId="0" shapeId="0">
      <text>
        <r>
          <rPr>
            <sz val="8"/>
            <color indexed="81"/>
            <rFont val="Tahoma"/>
            <family val="2"/>
          </rPr>
          <t>Mac Kirkpatrick: The Applied Emphasis Minor was approved by the CHE in January of 1999.</t>
        </r>
        <r>
          <rPr>
            <sz val="8"/>
            <color indexed="81"/>
            <rFont val="Tahoma"/>
            <family val="2"/>
          </rPr>
          <t xml:space="preserve">
</t>
        </r>
      </text>
    </comment>
    <comment ref="A27" authorId="1" shapeId="0">
      <text>
        <r>
          <rPr>
            <b/>
            <sz val="8"/>
            <color indexed="8"/>
            <rFont val="Tahoma"/>
            <family val="2"/>
          </rPr>
          <t>Mac Kirkpatrick:</t>
        </r>
        <r>
          <rPr>
            <sz val="8"/>
            <color indexed="8"/>
            <rFont val="Tahoma"/>
            <family val="2"/>
          </rPr>
          <t xml:space="preserve">  Since the Catalog states that we have a Mass Media minor rather than a Journalism minor all students from the latter have been put in the former minor for the Fall 1991, 1992 and 1993. </t>
        </r>
      </text>
    </comment>
    <comment ref="A33" authorId="1" shapeId="0">
      <text>
        <r>
          <rPr>
            <sz val="8"/>
            <color indexed="8"/>
            <rFont val="Tahoma"/>
            <family val="2"/>
          </rPr>
          <t>Philosophy-Religion minor deleted by Faculty Senate action in Fall 1996.</t>
        </r>
      </text>
    </comment>
  </commentList>
</comments>
</file>

<file path=xl/sharedStrings.xml><?xml version="1.0" encoding="utf-8"?>
<sst xmlns="http://schemas.openxmlformats.org/spreadsheetml/2006/main" count="5910" uniqueCount="1647">
  <si>
    <t>Fred M. Thrailkill</t>
  </si>
  <si>
    <t>STATEMENT OF REVENUES, EXPENSES</t>
  </si>
  <si>
    <t xml:space="preserve">   Operating Revenues</t>
  </si>
  <si>
    <t xml:space="preserve">     Sales and services of educational and other activities</t>
  </si>
  <si>
    <t xml:space="preserve">                    Total Operating Revenues</t>
  </si>
  <si>
    <t>EXPENSES</t>
  </si>
  <si>
    <t xml:space="preserve">   Operating Expenses</t>
  </si>
  <si>
    <t xml:space="preserve">     Supplies and Services</t>
  </si>
  <si>
    <t xml:space="preserve">     Scholarships and Fellowships</t>
  </si>
  <si>
    <t xml:space="preserve">     Depreciation</t>
  </si>
  <si>
    <t xml:space="preserve">                    Total Operating Expenses</t>
  </si>
  <si>
    <t>Baseball</t>
  </si>
  <si>
    <t>Fall</t>
  </si>
  <si>
    <t>Spring</t>
  </si>
  <si>
    <t>Summer</t>
  </si>
  <si>
    <t>Academic Year</t>
  </si>
  <si>
    <t>Fall Average Hours per Undergraduate Student</t>
  </si>
  <si>
    <t>UNDERGRADUATE FALL HEADCOUNT, FTE, AND CHP HISTORY</t>
  </si>
  <si>
    <t>% change</t>
  </si>
  <si>
    <t>UG Headcount</t>
  </si>
  <si>
    <t>UG FTE</t>
  </si>
  <si>
    <t>UG CHP</t>
  </si>
  <si>
    <t>Ave hrs/UG student</t>
  </si>
  <si>
    <t>Pre-Athletic Training</t>
  </si>
  <si>
    <t>COMPARISON OF LANDER UNIVERSITY FIRST-TIME FRESHMEN</t>
  </si>
  <si>
    <t>ENROLLMENT FROM SOUTH CAROLINA HIGH SCHOOLS</t>
  </si>
  <si>
    <t>HIGH SCHOOL</t>
  </si>
  <si>
    <t>Five-Year
Average</t>
  </si>
  <si>
    <t>Percentage
of Total</t>
  </si>
  <si>
    <t>Abbeville County</t>
  </si>
  <si>
    <t>5 Year Ave</t>
  </si>
  <si>
    <t>Percentage</t>
  </si>
  <si>
    <t>Abbeville HS</t>
  </si>
  <si>
    <t>Calhoun Falls HS</t>
  </si>
  <si>
    <t>Dixie HS</t>
  </si>
  <si>
    <t>County Totals</t>
  </si>
  <si>
    <t>Aiken County</t>
  </si>
  <si>
    <t>Aiken Senior HS</t>
  </si>
  <si>
    <t>Midland Valley HS</t>
  </si>
  <si>
    <t>North Augusta Sr. HS</t>
  </si>
  <si>
    <t>Ridge Spring Monetta HS</t>
  </si>
  <si>
    <t>Silver Bluff HS</t>
  </si>
  <si>
    <t>South Aiken HS</t>
  </si>
  <si>
    <t>DEGREES CONFERRED HISTORY BY DIVISION</t>
  </si>
  <si>
    <t>Wagener-Salley HS</t>
  </si>
  <si>
    <t>Allendale County</t>
  </si>
  <si>
    <t>Allendale-Fairfax HS</t>
  </si>
  <si>
    <t>Anderson County</t>
  </si>
  <si>
    <t>Belton-Honea Path HS</t>
  </si>
  <si>
    <t>Calvary Christian School</t>
  </si>
  <si>
    <t>Crescent HS</t>
  </si>
  <si>
    <t>McDuffie HS</t>
  </si>
  <si>
    <t>Oakwood Christian School</t>
  </si>
  <si>
    <t>Palmetto HS</t>
  </si>
  <si>
    <t xml:space="preserve">     Internet Resources</t>
  </si>
  <si>
    <t xml:space="preserve">     Electronic Books</t>
  </si>
  <si>
    <t>Pendleton HS</t>
  </si>
  <si>
    <t>T.L. Hanna HS</t>
  </si>
  <si>
    <t xml:space="preserve">Westside Senior HS </t>
  </si>
  <si>
    <t>Bamberg County</t>
  </si>
  <si>
    <t>Andrew Jackson Academy</t>
  </si>
  <si>
    <t>Denmark-Olar Sr HS</t>
  </si>
  <si>
    <t>Barnwell County</t>
  </si>
  <si>
    <t>Barnwell HS</t>
  </si>
  <si>
    <t>Blackville-Hilda HS</t>
  </si>
  <si>
    <t>Jefferson Davis Academy</t>
  </si>
  <si>
    <t>Williston Elko HS</t>
  </si>
  <si>
    <t>Beaufort County</t>
  </si>
  <si>
    <t>Battery Creek HS</t>
  </si>
  <si>
    <t>Beaufort Academy</t>
  </si>
  <si>
    <t>Beaufort HS</t>
  </si>
  <si>
    <t>Hilton Head Christian</t>
  </si>
  <si>
    <t>Hilton Head HS</t>
  </si>
  <si>
    <t>Hilton Head Prep Sch</t>
  </si>
  <si>
    <t>Praise Christian Academy</t>
  </si>
  <si>
    <t>Berkeley County</t>
  </si>
  <si>
    <t>Berkeley HS</t>
  </si>
  <si>
    <t>Cainhoy HS</t>
  </si>
  <si>
    <t>Cross HS</t>
  </si>
  <si>
    <t>Fort Dorchester HS</t>
  </si>
  <si>
    <t>Hanahan HS</t>
  </si>
  <si>
    <t>Lord Berkeley Academy</t>
  </si>
  <si>
    <t xml:space="preserve">Health Care Management </t>
  </si>
  <si>
    <t>Mathematics: (Dual Engineering Degree)</t>
  </si>
  <si>
    <t>Pinewood Prep School</t>
  </si>
  <si>
    <t>St. Stephen HS</t>
  </si>
  <si>
    <t>Stratford HS</t>
  </si>
  <si>
    <t>Calhoun County</t>
  </si>
  <si>
    <t>Calhoun Academy</t>
  </si>
  <si>
    <t>Calhoun County HS</t>
  </si>
  <si>
    <t>Charleston County</t>
  </si>
  <si>
    <t>Academic Magnet</t>
  </si>
  <si>
    <t>Archibald Rutledge Acad</t>
  </si>
  <si>
    <t>Ashley Hall</t>
  </si>
  <si>
    <t>Baptist Hill HS</t>
  </si>
  <si>
    <t>Bishop England HS</t>
  </si>
  <si>
    <t>Burke HS</t>
  </si>
  <si>
    <t>Charleston School of the Arts</t>
  </si>
  <si>
    <t>Clark Corporate Academy</t>
  </si>
  <si>
    <t>Evangel Christian</t>
  </si>
  <si>
    <t>Ferndale Baptist</t>
  </si>
  <si>
    <t>First Baptist Church Sch</t>
  </si>
  <si>
    <t>Goose Creek HS</t>
  </si>
  <si>
    <t>Gordon H Garrett HS</t>
  </si>
  <si>
    <t>James Island HS</t>
  </si>
  <si>
    <t>Lincoln County HS</t>
  </si>
  <si>
    <t>Low Country Academy</t>
  </si>
  <si>
    <t>Middleton HS</t>
  </si>
  <si>
    <t>North Charleston HS</t>
  </si>
  <si>
    <t>Northwood Academy</t>
  </si>
  <si>
    <t>Porter-Gaud School</t>
  </si>
  <si>
    <t>R.B. Stall HS</t>
  </si>
  <si>
    <t>Sea Island Academy</t>
  </si>
  <si>
    <t>St Johns Christian</t>
  </si>
  <si>
    <t>St. Andrews Parish HS</t>
  </si>
  <si>
    <t>St. Johns HS</t>
  </si>
  <si>
    <t>St. Paul's Cntry Day Sch</t>
  </si>
  <si>
    <t>St. Paul's HS</t>
  </si>
  <si>
    <t>Timberland HS</t>
  </si>
  <si>
    <t>Trident Academy</t>
  </si>
  <si>
    <t>Wando HS</t>
  </si>
  <si>
    <t>Cherokee County</t>
  </si>
  <si>
    <t>Blacksburg HS</t>
  </si>
  <si>
    <t>Cherokee HS</t>
  </si>
  <si>
    <t>Gaffney Senior HS</t>
  </si>
  <si>
    <t>Chester County</t>
  </si>
  <si>
    <t>Chester Senior HS</t>
  </si>
  <si>
    <t>Great Falls HS</t>
  </si>
  <si>
    <t xml:space="preserve">     EBSCO Databases from PASCAL</t>
  </si>
  <si>
    <t xml:space="preserve">     Other DISCUS databases</t>
  </si>
  <si>
    <t xml:space="preserve">     Other PASCAL databases</t>
  </si>
  <si>
    <t xml:space="preserve">     Other Databases</t>
  </si>
  <si>
    <t xml:space="preserve">  * 558,338</t>
  </si>
  <si>
    <t>Lewisville HS</t>
  </si>
  <si>
    <t>Chesterfield County</t>
  </si>
  <si>
    <t>Central HS</t>
  </si>
  <si>
    <t>Cheraw HS</t>
  </si>
  <si>
    <t>Chesterfield Senior HS</t>
  </si>
  <si>
    <t>McBee HS</t>
  </si>
  <si>
    <t>New Covenant</t>
  </si>
  <si>
    <t>Clarendon County</t>
  </si>
  <si>
    <t>Clarendon Hall</t>
  </si>
  <si>
    <t>East Clarendon HS</t>
  </si>
  <si>
    <t>Laurence Manning Acad</t>
  </si>
  <si>
    <t>Manning HS</t>
  </si>
  <si>
    <t>Scotts Branch HS</t>
  </si>
  <si>
    <t>Colleton County</t>
  </si>
  <si>
    <t>Ireland</t>
  </si>
  <si>
    <t>Colleton Prep Academy</t>
  </si>
  <si>
    <t>Ruffin High School</t>
  </si>
  <si>
    <t>Walterboro HS</t>
  </si>
  <si>
    <t>Darlington County</t>
  </si>
  <si>
    <t>Darlington HS</t>
  </si>
  <si>
    <t>Gov Sch Science &amp; Math</t>
  </si>
  <si>
    <t>Hartsville Senior HS</t>
  </si>
  <si>
    <t>Lamar HS</t>
  </si>
  <si>
    <t>Mayo HS</t>
  </si>
  <si>
    <t>Dillon County</t>
  </si>
  <si>
    <t>Dillon HS</t>
  </si>
  <si>
    <t>Lake View HS</t>
  </si>
  <si>
    <t>Latta HS</t>
  </si>
  <si>
    <t>Dorchester County</t>
  </si>
  <si>
    <t>Central Ave Chrs Acad</t>
  </si>
  <si>
    <t>Dorchester Academy</t>
  </si>
  <si>
    <t>Remember - these numbers will not match IPEDS anymore due to this report being fall to fall and IPEDS is fall to summer session.</t>
  </si>
  <si>
    <t>Fall 2003
(N=547)</t>
  </si>
  <si>
    <t>Fall 2003
(N=171)</t>
  </si>
  <si>
    <t>Political Science*</t>
  </si>
  <si>
    <t>Alumni Geographical Distribution History by Country</t>
  </si>
  <si>
    <t>Alumni Geographical Distribution History by State</t>
  </si>
  <si>
    <t>Alumni Geographical Distribution History by South Carolina County</t>
  </si>
  <si>
    <t>Harleyville-Ridgeville HS</t>
  </si>
  <si>
    <t>St. George HS</t>
  </si>
  <si>
    <t>Summerville HS</t>
  </si>
  <si>
    <t>Edgefield County</t>
  </si>
  <si>
    <t>F. H. Wardlaw Academy</t>
  </si>
  <si>
    <t>Strom Thurmond HS</t>
  </si>
  <si>
    <t>Fairfield County</t>
  </si>
  <si>
    <t>Fairfield Central HS</t>
  </si>
  <si>
    <t>Richard Winn Academy</t>
  </si>
  <si>
    <t>Florence County</t>
  </si>
  <si>
    <t>Carolina Academy</t>
  </si>
  <si>
    <t>Florence Christian School</t>
  </si>
  <si>
    <t>Hannah-Pamplico HS</t>
  </si>
  <si>
    <t>J.F. Byrnes Academy</t>
  </si>
  <si>
    <t>Robert A. Brimmer</t>
  </si>
  <si>
    <t>SUMMER HEADCOUNT BY DEPARTMENT AND MAJOR</t>
  </si>
  <si>
    <t>Johnsonville HS</t>
  </si>
  <si>
    <t>Lake City HS</t>
  </si>
  <si>
    <t>Maranantha Christian Sch</t>
  </si>
  <si>
    <t>South Florence HS</t>
  </si>
  <si>
    <t>Timmonsville High School</t>
  </si>
  <si>
    <t>West Florence HS</t>
  </si>
  <si>
    <t>Wilson Senior HS</t>
  </si>
  <si>
    <t>Fall 2005
(N=555)</t>
  </si>
  <si>
    <t>Georgetown County</t>
  </si>
  <si>
    <t>Andrews HS</t>
  </si>
  <si>
    <t>Choppee HS</t>
  </si>
  <si>
    <t>Georgetown HS</t>
  </si>
  <si>
    <t>Low Country Day School</t>
  </si>
  <si>
    <t>Pleasant Hill HS</t>
  </si>
  <si>
    <t>Waccamaw HS</t>
  </si>
  <si>
    <t>Greenville County</t>
  </si>
  <si>
    <t>Berea HS</t>
  </si>
  <si>
    <t>Blue Ridge HS</t>
  </si>
  <si>
    <t>Bob Jones Academy</t>
  </si>
  <si>
    <t>Carolina HS</t>
  </si>
  <si>
    <t>Christ Church Episco Sch</t>
  </si>
  <si>
    <t>Eastside HS</t>
  </si>
  <si>
    <t>Greenville Senior HS</t>
  </si>
  <si>
    <t>Greer HS</t>
  </si>
  <si>
    <t>Hampton Park Chris Sch</t>
  </si>
  <si>
    <t>Hillcrest HS</t>
  </si>
  <si>
    <t>James L. Mann HS</t>
  </si>
  <si>
    <t>Mauldin HS</t>
  </si>
  <si>
    <t>Riverside HS</t>
  </si>
  <si>
    <t>Shannon Forest Chr Sch</t>
  </si>
  <si>
    <t>Southside Christian Sch</t>
  </si>
  <si>
    <t>Southside HS</t>
  </si>
  <si>
    <t>St. Joseph's HS</t>
  </si>
  <si>
    <t>Travelers Rest HS</t>
  </si>
  <si>
    <t>Wade Hampton HS</t>
  </si>
  <si>
    <t>Westport Central HS</t>
  </si>
  <si>
    <t>Woodmont HS</t>
  </si>
  <si>
    <t>Wren HS</t>
  </si>
  <si>
    <t>Greenwood County</t>
  </si>
  <si>
    <t>Cambridge Academy</t>
  </si>
  <si>
    <t>Community Chris Acad</t>
  </si>
  <si>
    <t>Eastside Christian Sch</t>
  </si>
  <si>
    <t>Emerald HS</t>
  </si>
  <si>
    <t>Greenwood Christian Sch</t>
  </si>
  <si>
    <t>Greenwood HS</t>
  </si>
  <si>
    <t>Ninety Six HS</t>
  </si>
  <si>
    <t>Ware Shoals HS</t>
  </si>
  <si>
    <t>Hampton County</t>
  </si>
  <si>
    <t>Bamberg-Ehrhardt HS</t>
  </si>
  <si>
    <t>Estill HS</t>
  </si>
  <si>
    <t>Fall 2004
(N=647)</t>
  </si>
  <si>
    <t>Fall 2004 (N=168)</t>
  </si>
  <si>
    <t>Patrick Henry Academy</t>
  </si>
  <si>
    <t>Horry County</t>
  </si>
  <si>
    <t>Aynor HS</t>
  </si>
  <si>
    <t>Carolina Forest HS</t>
  </si>
  <si>
    <t xml:space="preserve">Conway Christian </t>
  </si>
  <si>
    <t>Bobby M. Bowers, Finance and Facilities Committee Chair</t>
  </si>
  <si>
    <t>Conway Senior HS</t>
  </si>
  <si>
    <t>Green Sea Floyds HS</t>
  </si>
  <si>
    <t>Loris HS</t>
  </si>
  <si>
    <t>Computer Information Systems: Software Development</t>
  </si>
  <si>
    <t>(With Five-Year Averages)</t>
  </si>
  <si>
    <t>Myrtle Beach HS</t>
  </si>
  <si>
    <t>North Myrtle Beach HS</t>
  </si>
  <si>
    <t>Socastee HS</t>
  </si>
  <si>
    <t>Jasper County</t>
  </si>
  <si>
    <t>Jasper County HS</t>
  </si>
  <si>
    <t>Thomas Heyward Acad</t>
  </si>
  <si>
    <t>Kershaw County</t>
  </si>
  <si>
    <t>Bethune HS</t>
  </si>
  <si>
    <t>Aiken Preparatory School</t>
  </si>
  <si>
    <t>Spartanburg Community College</t>
  </si>
  <si>
    <t>Camden HS</t>
  </si>
  <si>
    <t>Camden Military Acad</t>
  </si>
  <si>
    <t>Italy</t>
  </si>
  <si>
    <t>Trinidad and Tobago</t>
  </si>
  <si>
    <t>Ukraine</t>
  </si>
  <si>
    <t>Lugoff-Elgin HS</t>
  </si>
  <si>
    <t>North Central HS</t>
  </si>
  <si>
    <t>Lancaster County</t>
  </si>
  <si>
    <t>Andrew Jackson HS</t>
  </si>
  <si>
    <t>Buford HS</t>
  </si>
  <si>
    <t>Indian Land HS</t>
  </si>
  <si>
    <t>Lancaster HS</t>
  </si>
  <si>
    <t>Laurens County</t>
  </si>
  <si>
    <t>Clinton HS</t>
  </si>
  <si>
    <t>2004-2005</t>
  </si>
  <si>
    <t>Laurens District 55 HS</t>
  </si>
  <si>
    <t>Thornwell School</t>
  </si>
  <si>
    <t>Lee County</t>
  </si>
  <si>
    <t>Bishopville High School</t>
  </si>
  <si>
    <t>Hudgens Academy</t>
  </si>
  <si>
    <t>Mount Pleasant HS</t>
  </si>
  <si>
    <t>Robert E. Lee Academy</t>
  </si>
  <si>
    <t>Lexington County</t>
  </si>
  <si>
    <t>Airport HS</t>
  </si>
  <si>
    <t>Batesburg-Leesville HS</t>
  </si>
  <si>
    <t>Brookland-Cayce HS</t>
  </si>
  <si>
    <t>Chapin HS</t>
  </si>
  <si>
    <t>Distinctive Education</t>
  </si>
  <si>
    <t>Gilbert HS</t>
  </si>
  <si>
    <t>Irmo HS</t>
  </si>
  <si>
    <t>Lexington HS</t>
  </si>
  <si>
    <t>Pelion HS</t>
  </si>
  <si>
    <t>St. Pauls Christian School</t>
  </si>
  <si>
    <t>Swansea HS</t>
  </si>
  <si>
    <t>W. Wyman King Acad</t>
  </si>
  <si>
    <t>White Knoll HS</t>
  </si>
  <si>
    <t>McCormick County</t>
  </si>
  <si>
    <t>Long Cane Academy</t>
  </si>
  <si>
    <t>McCormick HS</t>
  </si>
  <si>
    <t>Marion County</t>
  </si>
  <si>
    <t>Brittons Neck HS</t>
  </si>
  <si>
    <t>Marion HS</t>
  </si>
  <si>
    <t>Mullins HS</t>
  </si>
  <si>
    <t>Pee Dee Academy</t>
  </si>
  <si>
    <t>Terrells Bay HS</t>
  </si>
  <si>
    <t>Marlboro County</t>
  </si>
  <si>
    <t>Marlboro County HS</t>
  </si>
  <si>
    <t>Newberry County</t>
  </si>
  <si>
    <t>Mid Carolina HS</t>
  </si>
  <si>
    <t>Newberry Academy</t>
  </si>
  <si>
    <t>Newberry Senior HS</t>
  </si>
  <si>
    <t>Whitmire HS</t>
  </si>
  <si>
    <t>Oconee County</t>
  </si>
  <si>
    <t>Seneca Senior HS</t>
  </si>
  <si>
    <t>Tamassee-Salem HS</t>
  </si>
  <si>
    <t>Walhalla Senior HS</t>
  </si>
  <si>
    <t>West-Oak HS</t>
  </si>
  <si>
    <t>Orangeburg County</t>
  </si>
  <si>
    <t>Bowman Academy</t>
  </si>
  <si>
    <t>Branchville HS</t>
  </si>
  <si>
    <t>Edisto HS</t>
  </si>
  <si>
    <t>Garden City Chris Sch</t>
  </si>
  <si>
    <t>Holly Hill Academy</t>
  </si>
  <si>
    <t>Holly Hill Roberts HS</t>
  </si>
  <si>
    <t>Hunter-Kinard HS</t>
  </si>
  <si>
    <t>North HS</t>
  </si>
  <si>
    <t>Orangeburg Prep Sch</t>
  </si>
  <si>
    <t>Orangeburg-Wilkinson HS</t>
  </si>
  <si>
    <t>Pickens County</t>
  </si>
  <si>
    <t>D.W. Daniel HS</t>
  </si>
  <si>
    <t>Easley HS</t>
  </si>
  <si>
    <t>Liberty HS</t>
  </si>
  <si>
    <t>Pickens HS</t>
  </si>
  <si>
    <t>Richland County</t>
  </si>
  <si>
    <t>5-Points</t>
  </si>
  <si>
    <t>A.C. Flora HS</t>
  </si>
  <si>
    <t>Ben Lippen School</t>
  </si>
  <si>
    <t>C.A. Johnson HS</t>
  </si>
  <si>
    <t>Cardinal Newman HS</t>
  </si>
  <si>
    <t>Columbia HS</t>
  </si>
  <si>
    <t>Dreher HS</t>
  </si>
  <si>
    <t>Dutch Fork HS</t>
  </si>
  <si>
    <t>Eau Claire HS</t>
  </si>
  <si>
    <t>Glenforest School</t>
  </si>
  <si>
    <t>Hammond School</t>
  </si>
  <si>
    <t>Heathwood Hall Epis Sch</t>
  </si>
  <si>
    <t>Keenan HS</t>
  </si>
  <si>
    <t>Lower Richland HS</t>
  </si>
  <si>
    <t>Richland Northeast HS</t>
  </si>
  <si>
    <t>Ridgeview HS</t>
  </si>
  <si>
    <t>Sloans School</t>
  </si>
  <si>
    <t>Spring Valley HS</t>
  </si>
  <si>
    <t>Tabb HS</t>
  </si>
  <si>
    <t>Saluda County</t>
  </si>
  <si>
    <t>Saluda HS</t>
  </si>
  <si>
    <t>Spartanburg County</t>
  </si>
  <si>
    <t>Boiling Springs HS</t>
  </si>
  <si>
    <t>Broome HS</t>
  </si>
  <si>
    <t>Chapman HS</t>
  </si>
  <si>
    <t>Chesnee HS</t>
  </si>
  <si>
    <t>Dorman HS</t>
  </si>
  <si>
    <t>Grace Christian School</t>
  </si>
  <si>
    <t>Inman Christian Academy</t>
  </si>
  <si>
    <t>2006-2007</t>
  </si>
  <si>
    <t>James F. Byrnes HS</t>
  </si>
  <si>
    <t>Landrum HS</t>
  </si>
  <si>
    <t>SC School of Deaf and Blind</t>
  </si>
  <si>
    <t>Spartanburg Day School</t>
  </si>
  <si>
    <t>Spartanburg HS</t>
  </si>
  <si>
    <t>Westgate Christian School</t>
  </si>
  <si>
    <t>Woodruff HS</t>
  </si>
  <si>
    <t>Sumter County</t>
  </si>
  <si>
    <t>Crestwood</t>
  </si>
  <si>
    <t>Furman HS</t>
  </si>
  <si>
    <t>Kings Academy</t>
  </si>
  <si>
    <t>Lakewood HS</t>
  </si>
  <si>
    <t>Mayewood HS</t>
  </si>
  <si>
    <t>Sumter Catholic HS</t>
  </si>
  <si>
    <t>5-Year Ave.</t>
  </si>
  <si>
    <t>Visual Arts: University Center</t>
  </si>
  <si>
    <t>English Concentration (M.A.T.)</t>
  </si>
  <si>
    <t>Science Concentration (M.A.T.)</t>
  </si>
  <si>
    <t>American Samoa</t>
  </si>
  <si>
    <t>Puerto Rico</t>
  </si>
  <si>
    <t>Psychology: University Center</t>
  </si>
  <si>
    <t>Psychology: Counseling: University Center</t>
  </si>
  <si>
    <t>Political Science: Pre-Law: University Center</t>
  </si>
  <si>
    <t>Political Science: Public Administration: University Center</t>
  </si>
  <si>
    <t>Sociology: University Center</t>
  </si>
  <si>
    <t>Fall 2006
(N=580)</t>
  </si>
  <si>
    <t>Sociology: Criminal Justice: University Center</t>
  </si>
  <si>
    <t>1996-1997</t>
  </si>
  <si>
    <t>Computer Information Systems: (Dual Engineering Degree)</t>
  </si>
  <si>
    <t>Chemistry: (Dual Engineering Degree)</t>
  </si>
  <si>
    <t>Home Economics</t>
  </si>
  <si>
    <t>Fall Headcount History by Major: Five-Year Averages</t>
  </si>
  <si>
    <t>SPRING FULL TIME EQUIVALENTS (FTE)* BY DISCIPLINE</t>
  </si>
  <si>
    <t>Sumter HS</t>
  </si>
  <si>
    <t>Thomas Sumter Academy</t>
  </si>
  <si>
    <t>Wilson Hall</t>
  </si>
  <si>
    <t>College of Science and Mathematics</t>
  </si>
  <si>
    <t>Department and Major</t>
  </si>
  <si>
    <t>Department of Biology</t>
  </si>
  <si>
    <t>Department of Math and Computing</t>
  </si>
  <si>
    <t>Department of Nursing</t>
  </si>
  <si>
    <t>Department of Physical Sciences</t>
  </si>
  <si>
    <t>College of Science and Mathematics Totals</t>
  </si>
  <si>
    <t>College of Arts and Humanities</t>
  </si>
  <si>
    <t>Department of Art</t>
  </si>
  <si>
    <t>Department of English and Foreign Language</t>
  </si>
  <si>
    <t>Department of History and Philosophy</t>
  </si>
  <si>
    <t>Department of Mass Communications and Theatre</t>
  </si>
  <si>
    <t>MSL</t>
  </si>
  <si>
    <t>Department of Music</t>
  </si>
  <si>
    <t>College of Arts and Humanities Totals</t>
  </si>
  <si>
    <t>College of Education</t>
  </si>
  <si>
    <t>Department of Physical Education and Exercise Studies</t>
  </si>
  <si>
    <t>Department of Psychology</t>
  </si>
  <si>
    <t>College of Education Totals</t>
  </si>
  <si>
    <t>College of Business and Public Affairs</t>
  </si>
  <si>
    <t>Department of Business Administration</t>
  </si>
  <si>
    <t>Department of Political and Social Science</t>
  </si>
  <si>
    <t>College Totals</t>
  </si>
  <si>
    <t>Department of Business Administation</t>
  </si>
  <si>
    <t>Department of Political and Social Sciences</t>
  </si>
  <si>
    <t>College of Business and Public Affairs Totals</t>
  </si>
  <si>
    <t>Department of Education</t>
  </si>
  <si>
    <t>Department of Physical Education and Exercise Science</t>
  </si>
  <si>
    <t>Deparmtment of History and Philosopy</t>
  </si>
  <si>
    <t xml:space="preserve">College of Science and Mathematics Totals </t>
  </si>
  <si>
    <t>Union County</t>
  </si>
  <si>
    <t>Jonesville HS</t>
  </si>
  <si>
    <t>Lockhart HS</t>
  </si>
  <si>
    <t>Union HS</t>
  </si>
  <si>
    <t>Williamsburg County</t>
  </si>
  <si>
    <t>C.E. Murray HS</t>
  </si>
  <si>
    <t>Carvers Bay High School</t>
  </si>
  <si>
    <t>Hemingway HS</t>
  </si>
  <si>
    <t>Kingstree Senior HS</t>
  </si>
  <si>
    <t>Williamsburg Academy</t>
  </si>
  <si>
    <t>York County</t>
  </si>
  <si>
    <t>Blessed Hope Baptist Sch</t>
  </si>
  <si>
    <t>Clover HS</t>
  </si>
  <si>
    <t>Fort Mill HS</t>
  </si>
  <si>
    <t>Northwestern HS</t>
  </si>
  <si>
    <t>Rock Hill HS</t>
  </si>
  <si>
    <t>Trinity Christian School</t>
  </si>
  <si>
    <t>Westminster/Catawba Chr</t>
  </si>
  <si>
    <t>York Comprehensive HS</t>
  </si>
  <si>
    <t>TOTAL SOUTH CAROLINA</t>
  </si>
  <si>
    <t>GED</t>
  </si>
  <si>
    <t>Home School</t>
  </si>
  <si>
    <t>No Longer Exist</t>
  </si>
  <si>
    <t>SC No Code</t>
  </si>
  <si>
    <t xml:space="preserve">                    Operating Loss</t>
  </si>
  <si>
    <t>NONOPERATING REVENUES (EXPENSES)</t>
  </si>
  <si>
    <t xml:space="preserve">   State Appropriations</t>
  </si>
  <si>
    <t xml:space="preserve">   Private Gifts</t>
  </si>
  <si>
    <t>Information Technology, Physical Plant</t>
  </si>
  <si>
    <t xml:space="preserve">   Investment Income</t>
  </si>
  <si>
    <t xml:space="preserve">   Interest on Capital Assets-Related Debt</t>
  </si>
  <si>
    <t>for Business and Administration</t>
  </si>
  <si>
    <t xml:space="preserve">     Net Nonoperating Revenues</t>
  </si>
  <si>
    <t xml:space="preserve">                    Income Before Other Revenues, Expenses,</t>
  </si>
  <si>
    <t xml:space="preserve">                              Gains or Losses</t>
  </si>
  <si>
    <t xml:space="preserve">   Capital Improvement Bond Proceeds</t>
  </si>
  <si>
    <t xml:space="preserve">                    Increase (Decrease) in Net Assets</t>
  </si>
  <si>
    <t>SUMMER FULL TIME EQUIVALENTS (FTE)* BY DISCIPLINE</t>
  </si>
  <si>
    <t>Chile</t>
  </si>
  <si>
    <t>Scotland</t>
  </si>
  <si>
    <t>Virgin Islands</t>
  </si>
  <si>
    <t>SAT Scores: Lander, State, National Averages (1991-1995)</t>
  </si>
  <si>
    <t>Figures under each academic year are derived by Integrated Postsecondary Education Data System (IPEDS) requirements (combining graduates from the applicable fall and spring semesters and the summer PRIOR to the beginning of the academic year).</t>
  </si>
  <si>
    <t>MINORS CONFERRED</t>
  </si>
  <si>
    <t>Minor</t>
  </si>
  <si>
    <t>5-Yr. Ave.</t>
  </si>
  <si>
    <t>Degrees Conferred with Teacher Certification</t>
  </si>
  <si>
    <t>NUMBER OF TEACHER CERTIFICATION DEGREES CONFERRED</t>
  </si>
  <si>
    <t>English - Secondary Certification</t>
  </si>
  <si>
    <t>History - Secondary Certification</t>
  </si>
  <si>
    <t>Mathematics - Secondary Certification</t>
  </si>
  <si>
    <t>Music - K-12 Certification</t>
  </si>
  <si>
    <t>Political Science - Secondary Certification</t>
  </si>
  <si>
    <t>Spanish - K-12 Certification</t>
  </si>
  <si>
    <t>Visual Arts - K-12 Certification</t>
  </si>
  <si>
    <t>Major</t>
  </si>
  <si>
    <t>Elementary Education (M.Ed.): Montessori</t>
  </si>
  <si>
    <t>Elementary Education (M.Ed.): Montessori - University Center</t>
  </si>
  <si>
    <t>Health Agency Management</t>
  </si>
  <si>
    <t>Figures for sports are derived using only first-time, full-time degree seeking students receiving athletically-related student aid for the year noted.</t>
  </si>
  <si>
    <t xml:space="preserve">    First-Time Graduate</t>
  </si>
  <si>
    <t xml:space="preserve">    Other Deg. Graduate</t>
  </si>
  <si>
    <t>First-time, Full-time Freshmen</t>
  </si>
  <si>
    <t>Men</t>
  </si>
  <si>
    <t>Women</t>
  </si>
  <si>
    <t>Total</t>
  </si>
  <si>
    <t>Initial Cohort</t>
  </si>
  <si>
    <t>Completers</t>
  </si>
  <si>
    <t>Graduation Rate</t>
  </si>
  <si>
    <t>Basketball</t>
  </si>
  <si>
    <t>(With Emphases)</t>
  </si>
  <si>
    <t>Bluffton High School</t>
  </si>
  <si>
    <t>Criminal Justice Management</t>
  </si>
  <si>
    <t>CJM</t>
  </si>
  <si>
    <t>Heritage Academy</t>
  </si>
  <si>
    <t>Garrett Academy of Technology</t>
  </si>
  <si>
    <t>Saint James High School</t>
  </si>
  <si>
    <t>Union Day School</t>
  </si>
  <si>
    <t>Other No-Reponse</t>
  </si>
  <si>
    <t>Psychology: Counseling - University Center</t>
  </si>
  <si>
    <t>Sociology: Criminal Justice - University Center</t>
  </si>
  <si>
    <t>Biology: Genetics</t>
  </si>
  <si>
    <t>Early Childhood Education: Montessori</t>
  </si>
  <si>
    <t>Political Science: Pre-Law - University Center</t>
  </si>
  <si>
    <t>Political Science: Public Administration - University Center</t>
  </si>
  <si>
    <t>Cross-Country and Track</t>
  </si>
  <si>
    <t>All Other Sports Combined</t>
  </si>
  <si>
    <t>4-Year Average</t>
  </si>
  <si>
    <t>LANDER UNIVERSITY LIBRARY STATISTICS</t>
  </si>
  <si>
    <t>DESCRIPTION</t>
  </si>
  <si>
    <t xml:space="preserve"> 1998-1999</t>
  </si>
  <si>
    <t>LIBRARY STAFF</t>
  </si>
  <si>
    <t xml:space="preserve">     Professional Librarians</t>
  </si>
  <si>
    <t xml:space="preserve">     Technical Assistants</t>
  </si>
  <si>
    <t>CIRCULATION</t>
  </si>
  <si>
    <t xml:space="preserve">     Students</t>
  </si>
  <si>
    <t xml:space="preserve">     Faculty</t>
  </si>
  <si>
    <t xml:space="preserve">     Staff</t>
  </si>
  <si>
    <t xml:space="preserve">     Interlibrary Loans (Sent and Received)</t>
  </si>
  <si>
    <t xml:space="preserve">     Reserve Books</t>
  </si>
  <si>
    <t xml:space="preserve">          Total Circulation</t>
  </si>
  <si>
    <t xml:space="preserve">     Items circulated per FTE Student</t>
  </si>
  <si>
    <t>COLLECTION</t>
  </si>
  <si>
    <t xml:space="preserve">     Books</t>
  </si>
  <si>
    <t xml:space="preserve">     Bound Periodicals</t>
  </si>
  <si>
    <t xml:space="preserve">     Microforms</t>
  </si>
  <si>
    <t xml:space="preserve">     Maps</t>
  </si>
  <si>
    <t xml:space="preserve">     Computer Media</t>
  </si>
  <si>
    <t xml:space="preserve">     Audiovisuals</t>
  </si>
  <si>
    <t>FEDERAL LOANS</t>
  </si>
  <si>
    <t>CAMPUS EMPLOYMENT</t>
  </si>
  <si>
    <t>STATE SCHOLARSHIPS/GRANTS/LOANS</t>
  </si>
  <si>
    <t>ABATEMENTS AND WAIVERS</t>
  </si>
  <si>
    <t>INSTITUTIONAL SCHOLARSHIPS</t>
  </si>
  <si>
    <t>PRIVATE AID</t>
  </si>
  <si>
    <t xml:space="preserve">          Total Collection</t>
  </si>
  <si>
    <t xml:space="preserve">     Volumes in Collection per FTE Student</t>
  </si>
  <si>
    <t xml:space="preserve">     Periodical Subscriptions</t>
  </si>
  <si>
    <t>FTE STUDENTS (Fall)</t>
  </si>
  <si>
    <t>FALL RESIDENTIAL UNIT OCCUPANCY</t>
  </si>
  <si>
    <t>Brookside</t>
  </si>
  <si>
    <t>Chipley Hall</t>
  </si>
  <si>
    <t>Coleman Hall</t>
  </si>
  <si>
    <t>Thomason</t>
  </si>
  <si>
    <t>Lide</t>
  </si>
  <si>
    <t>Williamston</t>
  </si>
  <si>
    <t>Greenwood High Apartments</t>
  </si>
  <si>
    <t>SPRING RESIDENTIAL UNIT OCCUPANCY</t>
  </si>
  <si>
    <t>GEOGRAPHICAL DISTRIBUTION OF ALUMNI BY SOUTH CAROLINA COUNTY</t>
  </si>
  <si>
    <t>Berkeley</t>
  </si>
  <si>
    <t>FALL 2003</t>
  </si>
  <si>
    <t>Total S.C. Alumni</t>
  </si>
  <si>
    <t>Alaska</t>
  </si>
  <si>
    <t>Delaware</t>
  </si>
  <si>
    <t>Hawaii</t>
  </si>
  <si>
    <t>Iowa</t>
  </si>
  <si>
    <t>Nebraska</t>
  </si>
  <si>
    <t>Nevada</t>
  </si>
  <si>
    <t>New Mexico</t>
  </si>
  <si>
    <t>South Dakota</t>
  </si>
  <si>
    <t>Utah</t>
  </si>
  <si>
    <t>Wyoming</t>
  </si>
  <si>
    <t>GEOGRAPHICAL DISTRIBUTION OF ALUMNI BY COUNTRY</t>
  </si>
  <si>
    <t>Japan</t>
  </si>
  <si>
    <t>New Zealand</t>
  </si>
  <si>
    <t>Military Service</t>
  </si>
  <si>
    <t>Out of State</t>
  </si>
  <si>
    <t>Gerontology</t>
  </si>
  <si>
    <t>Fall 2002
(N=526)</t>
  </si>
  <si>
    <t>Athletic Training</t>
  </si>
  <si>
    <t>Data are provided in accordance with the Clery Act (formerly known as the Student Right-to-know and Campus Security Act).</t>
  </si>
  <si>
    <t>Minors Conferred History Five-Year Averages</t>
  </si>
  <si>
    <t>Criminal Justice Management: University Center</t>
  </si>
  <si>
    <t>2007-2008</t>
  </si>
  <si>
    <t>Total
Male</t>
  </si>
  <si>
    <t>FALL 2001</t>
  </si>
  <si>
    <t>No.</t>
  </si>
  <si>
    <t>Amount</t>
  </si>
  <si>
    <t>Pre-Occupational Therapy</t>
  </si>
  <si>
    <t>REVENUES</t>
  </si>
  <si>
    <t xml:space="preserve">     Federal grants/contracts</t>
  </si>
  <si>
    <t xml:space="preserve">     State grants/contracts</t>
  </si>
  <si>
    <t xml:space="preserve">     Nongovernmental grants and contracts</t>
  </si>
  <si>
    <t>SUMMER CREDIT HOUR PRODUCTION (CHP)* BY DISCIPLINE</t>
  </si>
  <si>
    <t>Sociology - University Center</t>
  </si>
  <si>
    <t>Grand Total</t>
  </si>
  <si>
    <t>2001-2002</t>
  </si>
  <si>
    <t>YEAR OF</t>
  </si>
  <si>
    <t>GROSS</t>
  </si>
  <si>
    <t>BUILDING NAME/ADDRESS</t>
  </si>
  <si>
    <t>CONST.</t>
  </si>
  <si>
    <t>MAJ.REN.</t>
  </si>
  <si>
    <t>SQ. FT.</t>
  </si>
  <si>
    <t>BUILDING USE</t>
  </si>
  <si>
    <t>RESIDENTIAL UNITS</t>
  </si>
  <si>
    <t>Residence Hall</t>
  </si>
  <si>
    <t>ACADEMIC/ADMINISTRATIVE</t>
  </si>
  <si>
    <t>Administrative/Faculty Offices and Classrooms</t>
  </si>
  <si>
    <t>Carnell Learning Center</t>
  </si>
  <si>
    <t>Cultural Center</t>
  </si>
  <si>
    <t>Fine Arts Faculty Offices and Classrooms</t>
  </si>
  <si>
    <t>Drummond Athletic Complex</t>
  </si>
  <si>
    <t>Athletic Facilities and Physical Education/Exercise Studies</t>
  </si>
  <si>
    <t>Faculty Offices and Classrooms</t>
  </si>
  <si>
    <t>Genesis Hall</t>
  </si>
  <si>
    <t>Grier Student Center</t>
  </si>
  <si>
    <t>Student Affairs Admin. Offices, Bookstore,</t>
  </si>
  <si>
    <t>Post Office and Food Service</t>
  </si>
  <si>
    <t>Jackson Library</t>
  </si>
  <si>
    <t>Library, Student Computer Center, and</t>
  </si>
  <si>
    <t>FALL 2005</t>
  </si>
  <si>
    <t>Latin American Studies</t>
  </si>
  <si>
    <t>University Relations Offices</t>
  </si>
  <si>
    <t>Laura Lander Hall</t>
  </si>
  <si>
    <t>Number of Online Courses Offered</t>
  </si>
  <si>
    <t>Faculty Offices, Laboratories and Classrooms</t>
  </si>
  <si>
    <t>Science Facility</t>
  </si>
  <si>
    <t>201 Sanders</t>
  </si>
  <si>
    <t>Art Studios</t>
  </si>
  <si>
    <t>203 Sanders</t>
  </si>
  <si>
    <t>205 Sanders</t>
  </si>
  <si>
    <t>202 Sproles</t>
  </si>
  <si>
    <t>ROTC</t>
  </si>
  <si>
    <t>INSTITUTIONAL SUPPORT</t>
  </si>
  <si>
    <t>Physical Plant</t>
  </si>
  <si>
    <t>Administrative Offices,</t>
  </si>
  <si>
    <t xml:space="preserve">Building and Grounds Maintenance, </t>
  </si>
  <si>
    <t>Mass Communications/Theatre:Theatre</t>
  </si>
  <si>
    <t>Mass Communications/Theatre:Mass Communications</t>
  </si>
  <si>
    <t>Custodial Services and Motor Pool</t>
  </si>
  <si>
    <t>Henrietta Avenue Warehouse</t>
  </si>
  <si>
    <t>Storage</t>
  </si>
  <si>
    <t>Sproles Recreation Center</t>
  </si>
  <si>
    <t>Student Recreation Facility</t>
  </si>
  <si>
    <t>President's House</t>
  </si>
  <si>
    <t>President's Home</t>
  </si>
  <si>
    <t>221 Crews</t>
  </si>
  <si>
    <t>Engineering Services, Facilities Scheduling</t>
  </si>
  <si>
    <t>223 Crews</t>
  </si>
  <si>
    <t>Construction Services, Health Services</t>
  </si>
  <si>
    <t>311 Willson Street</t>
  </si>
  <si>
    <t>Alumni Affairs</t>
  </si>
  <si>
    <t>401 Willson Street</t>
  </si>
  <si>
    <t>Montessori Program</t>
  </si>
  <si>
    <t>421 Willson Street</t>
  </si>
  <si>
    <t xml:space="preserve">Public Safety </t>
  </si>
  <si>
    <t>Public Administration</t>
  </si>
  <si>
    <t>Enrollment Status 
(As of the following Fall)</t>
  </si>
  <si>
    <t>Fall 2000
(N=153)</t>
  </si>
  <si>
    <t>Fall 2000
(N=509)</t>
  </si>
  <si>
    <t>NURN - On-line</t>
  </si>
  <si>
    <t>TRANSFER RETENTION AND ATTRITION DATA</t>
  </si>
  <si>
    <t>(All Full-time Transfers)</t>
  </si>
  <si>
    <t>Fall 1992
(N=192)</t>
  </si>
  <si>
    <t>Fall 1993
(N=199)</t>
  </si>
  <si>
    <t>Fall 1994
(N=164)</t>
  </si>
  <si>
    <t>Fall 1995
(N=158)</t>
  </si>
  <si>
    <t>Fall 1996
(N=156)</t>
  </si>
  <si>
    <t>Fall 1997
(N=182)</t>
  </si>
  <si>
    <t>Fall 1998
(N=138)</t>
  </si>
  <si>
    <t>Fall 1999
(N=174)</t>
  </si>
  <si>
    <t>South Korea</t>
  </si>
  <si>
    <t>TABLE OF CONTENTS</t>
  </si>
  <si>
    <t>ADMINISTRATION</t>
  </si>
  <si>
    <t>Board of Trustees</t>
  </si>
  <si>
    <t>Executive Officers</t>
  </si>
  <si>
    <t>ADMISSIONS</t>
  </si>
  <si>
    <t>Freshmen</t>
  </si>
  <si>
    <t>Application History</t>
  </si>
  <si>
    <t>SPRING HEADCOUNT BY DEPARTMENT AND MAJOR</t>
  </si>
  <si>
    <t>Application History by Gender</t>
  </si>
  <si>
    <t>Application History by Ethnic Origin</t>
  </si>
  <si>
    <t>Fall 2002
(N=183)</t>
  </si>
  <si>
    <t>Transfers</t>
  </si>
  <si>
    <t>Enrollment History by South Carolina Institutions</t>
  </si>
  <si>
    <t>ENROLLMENT</t>
  </si>
  <si>
    <t>Summer Headcount and Credit Hour Production History</t>
  </si>
  <si>
    <t>Fall Headcount History by Major</t>
  </si>
  <si>
    <t>Fall Headcount History by Minor</t>
  </si>
  <si>
    <t>Freshman - First-Time</t>
  </si>
  <si>
    <t>Freshman - Other</t>
  </si>
  <si>
    <t>FRESHMAN TOTAL</t>
  </si>
  <si>
    <t>Spring Headcount History by Major</t>
  </si>
  <si>
    <t>Summer Headcount History by Major</t>
  </si>
  <si>
    <t>African-American Student Enrollment History</t>
  </si>
  <si>
    <t>Geographical Distribution History by Country of Origin</t>
  </si>
  <si>
    <t>Geographical Distribution History by State</t>
  </si>
  <si>
    <t>Psychology: Pre-Law</t>
  </si>
  <si>
    <t>Biology: Medical Technology</t>
  </si>
  <si>
    <t>Mathematics: Accounting</t>
  </si>
  <si>
    <t>Criminal Justice Mangement</t>
  </si>
  <si>
    <t>HP</t>
  </si>
  <si>
    <t>No Response</t>
  </si>
  <si>
    <t>Geographical Distribution History by South Carolina County</t>
  </si>
  <si>
    <t>Degrees Conferred History by Division</t>
  </si>
  <si>
    <t>Minors Conferred History</t>
  </si>
  <si>
    <t>STUDENT LIFE AND SERVICES</t>
  </si>
  <si>
    <t>Fall and Spring Residential Unit Occupancy History</t>
  </si>
  <si>
    <t>Library Statistics History</t>
  </si>
  <si>
    <t>ALUMNI</t>
  </si>
  <si>
    <t>FACULTY AND EMPLOYEES</t>
  </si>
  <si>
    <t>Fall FTE Student Faculty Ratio History</t>
  </si>
  <si>
    <t>Average Nine-month Faculty Salaries History by Rank</t>
  </si>
  <si>
    <t>FINANCIAL DATA</t>
  </si>
  <si>
    <t>Full-Time Academic Fees History</t>
  </si>
  <si>
    <t>Current Fund Revenues and Expenditures</t>
  </si>
  <si>
    <t>FACILITIES</t>
  </si>
  <si>
    <t>English: Applied Emphasis</t>
  </si>
  <si>
    <t>History: Pre-Law</t>
  </si>
  <si>
    <t>Political Science: Pre-Law</t>
  </si>
  <si>
    <t>FALL 2006</t>
  </si>
  <si>
    <t>Fox Creek HS</t>
  </si>
  <si>
    <t>Barnwell Christian School</t>
  </si>
  <si>
    <t>James Island Christian HS</t>
  </si>
  <si>
    <t>Palmetto Academy</t>
  </si>
  <si>
    <t>Wil Lou Gray Opportunity School</t>
  </si>
  <si>
    <t>Malboro Academy</t>
  </si>
  <si>
    <t>Oconee Christian Academy</t>
  </si>
  <si>
    <t>Lake Marion HS &amp; Tech Ctr</t>
  </si>
  <si>
    <t>Hopewood Academy</t>
  </si>
  <si>
    <t>USC-Upstate</t>
  </si>
  <si>
    <t>Anderson University</t>
  </si>
  <si>
    <t>Political Science: Public Administration</t>
  </si>
  <si>
    <t>Inventory of Major Buildings</t>
  </si>
  <si>
    <t>GRADUATION RATES</t>
  </si>
  <si>
    <t>NCAA Graduation Rates</t>
  </si>
  <si>
    <t>Four-Year Averages</t>
  </si>
  <si>
    <t>LANDER UNIVERSITY BOARD OF TRUSTEES</t>
  </si>
  <si>
    <t>2000-2001</t>
  </si>
  <si>
    <t>ELECTED MEMBERS</t>
  </si>
  <si>
    <t>CONGRESSIONAL DISTRICT</t>
  </si>
  <si>
    <t>TERM EXPIRES</t>
  </si>
  <si>
    <t>First</t>
  </si>
  <si>
    <t>Sixth</t>
  </si>
  <si>
    <t>Guam</t>
  </si>
  <si>
    <t>Russia</t>
  </si>
  <si>
    <t>Ukrane</t>
  </si>
  <si>
    <t>Fourth</t>
  </si>
  <si>
    <t>Second</t>
  </si>
  <si>
    <t>Fifth</t>
  </si>
  <si>
    <t>Third</t>
  </si>
  <si>
    <t>AT-LARGE MEMBERS</t>
  </si>
  <si>
    <t>Appointed by the General Assembly</t>
  </si>
  <si>
    <t>Appointed by the Governor</t>
  </si>
  <si>
    <t>EX-OFFICIO MEMBER</t>
  </si>
  <si>
    <t>EXECUTIVE OFFICERS</t>
  </si>
  <si>
    <t>Daniel W. Ball</t>
  </si>
  <si>
    <t>President</t>
  </si>
  <si>
    <t>Vice President for Academic Affairs</t>
  </si>
  <si>
    <t>H. Randall Bouknight</t>
  </si>
  <si>
    <t>Vice President for Student Affairs</t>
  </si>
  <si>
    <t>Jefferson J. May</t>
  </si>
  <si>
    <t>Athletic Director</t>
  </si>
  <si>
    <t>FRESHMEN APPLICATION HISTORY</t>
  </si>
  <si>
    <t>FOR FALL</t>
  </si>
  <si>
    <t>APPLICATIONS RECEIVED</t>
  </si>
  <si>
    <t>APPLICATIONS ACCEPTED</t>
  </si>
  <si>
    <t>% ACCEPTED OF RECEIVED</t>
  </si>
  <si>
    <t>APPLICATIONS ENROLLED</t>
  </si>
  <si>
    <t>% ENROLLED OF RECEIVED</t>
  </si>
  <si>
    <t>YEAR</t>
  </si>
  <si>
    <t>FRESHMEN APPLICATION HISTORY BY GENDER</t>
  </si>
  <si>
    <t>APPLICATIONS</t>
  </si>
  <si>
    <t>MALE</t>
  </si>
  <si>
    <t>English - Applied Emphasis</t>
  </si>
  <si>
    <t>FEMALE</t>
  </si>
  <si>
    <t xml:space="preserve"> </t>
  </si>
  <si>
    <t>RECEIVED FOR FALL</t>
  </si>
  <si>
    <t>NUMBER</t>
  </si>
  <si>
    <t>% OF TOTAL</t>
  </si>
  <si>
    <t>TOTAL</t>
  </si>
  <si>
    <t>ACCEPTED FOR FALL</t>
  </si>
  <si>
    <t>ENROLLED FOR FALL</t>
  </si>
  <si>
    <t>Latvia</t>
  </si>
  <si>
    <t>Niger</t>
  </si>
  <si>
    <t>Thailand</t>
  </si>
  <si>
    <t>FRESHMEN APPLICATION HISTORY BY ETHNIC ORIGIN</t>
  </si>
  <si>
    <t xml:space="preserve">FOR </t>
  </si>
  <si>
    <t>Black/Non-Hispanic</t>
  </si>
  <si>
    <t>White/Non-Hispanic</t>
  </si>
  <si>
    <t>Hispanic</t>
  </si>
  <si>
    <t>Asian/Pacific Islander</t>
  </si>
  <si>
    <t>American Indian/Alaskan Native</t>
  </si>
  <si>
    <t>Non-Resident Alien</t>
  </si>
  <si>
    <t>FALL</t>
  </si>
  <si>
    <t>Number</t>
  </si>
  <si>
    <t>% of Total</t>
  </si>
  <si>
    <t>FRESHMEN AVERAGE SAT COMPARISONS (1991-1995)</t>
  </si>
  <si>
    <t>VERBAL</t>
  </si>
  <si>
    <t>MATH</t>
  </si>
  <si>
    <t>COMBINED</t>
  </si>
  <si>
    <t>OF NEW FRESHMEN</t>
  </si>
  <si>
    <t>Lander</t>
  </si>
  <si>
    <t>State</t>
  </si>
  <si>
    <t>Nation</t>
  </si>
  <si>
    <t xml:space="preserve"> Nation</t>
  </si>
  <si>
    <t>TRANSFER APPLICATION HISTORY</t>
  </si>
  <si>
    <t xml:space="preserve">  </t>
  </si>
  <si>
    <t>TRANSFER APPLICATION HISTORY BY GENDER</t>
  </si>
  <si>
    <t>FRESHMEN RETENTION AND ATTRITION DATA</t>
  </si>
  <si>
    <t>Semester of Entry</t>
  </si>
  <si>
    <t>After first year</t>
  </si>
  <si>
    <t>%Graduated</t>
  </si>
  <si>
    <t>%Enrolled</t>
  </si>
  <si>
    <t>%Suspended</t>
  </si>
  <si>
    <t>%Discontinued</t>
  </si>
  <si>
    <t>After second year</t>
  </si>
  <si>
    <t>English: Professional Writing</t>
  </si>
  <si>
    <t>Montessori Education (M.Ed.)</t>
  </si>
  <si>
    <t>After third year</t>
  </si>
  <si>
    <t>Fall Enrollment by Age and Gender</t>
  </si>
  <si>
    <t> Under 18 </t>
  </si>
  <si>
    <t> 18-19 </t>
  </si>
  <si>
    <t> 20-21 </t>
  </si>
  <si>
    <t> 22-24 </t>
  </si>
  <si>
    <t>Political Science - University Center</t>
  </si>
  <si>
    <t> 25-29 </t>
  </si>
  <si>
    <t> 30-34 </t>
  </si>
  <si>
    <t> 35-39 </t>
  </si>
  <si>
    <t> 40-49 </t>
  </si>
  <si>
    <t> 50-64 </t>
  </si>
  <si>
    <t> 65 and over </t>
  </si>
  <si>
    <t>Grand Totals</t>
  </si>
  <si>
    <t>Totals</t>
  </si>
  <si>
    <t>Percentages</t>
  </si>
  <si>
    <t>Age Group</t>
  </si>
  <si>
    <t>After fourth year</t>
  </si>
  <si>
    <t>After fifth year</t>
  </si>
  <si>
    <t>After sixth year</t>
  </si>
  <si>
    <t>Percentages may not total 100% due to rounding.</t>
  </si>
  <si>
    <t>Number of Freshmen</t>
  </si>
  <si>
    <t>Fall 1994
(N=483)</t>
  </si>
  <si>
    <t>(All Full-time Freshmen)</t>
  </si>
  <si>
    <t>Fall 1995
(N=477)</t>
  </si>
  <si>
    <t>Fall 1996
(N=437)</t>
  </si>
  <si>
    <t>Fall 1997
(N=433)</t>
  </si>
  <si>
    <t>Fall 1999
(N=494)</t>
  </si>
  <si>
    <t>TRANSFER APPLICATION HISTORY BY ETHNIC ORIGIN</t>
  </si>
  <si>
    <t>ENROLLMENT COMPARISON OF TRANSFERS TO</t>
  </si>
  <si>
    <t>LANDER UNIVERSITY FROM SOUTH CAROLINA INSTITUTIONS</t>
  </si>
  <si>
    <t xml:space="preserve"> PUBLIC JUNIOR/TECHNICAL COLLEGES</t>
  </si>
  <si>
    <t>FALL 1997</t>
  </si>
  <si>
    <t>FALL 1998</t>
  </si>
  <si>
    <t>FALL 2000</t>
  </si>
  <si>
    <t>FALL CREDIT HOUR PRODUCTION (FTE)* BY DISCIPLINE</t>
  </si>
  <si>
    <t>Aiken Technical College</t>
  </si>
  <si>
    <t>Central Carolina Technical College</t>
  </si>
  <si>
    <t>Denmark Technical College</t>
  </si>
  <si>
    <t>Florence-Darlington Technical College</t>
  </si>
  <si>
    <t>Greenville Technical College</t>
  </si>
  <si>
    <t>Horry-Georgetown Technical College</t>
  </si>
  <si>
    <t>Midlands Technical College</t>
  </si>
  <si>
    <t>Orangeburg-Calhoun Technical College</t>
  </si>
  <si>
    <t>Piedmont Technical College</t>
  </si>
  <si>
    <t>Technical College of Low Country</t>
  </si>
  <si>
    <t>Tri-County Technical College</t>
  </si>
  <si>
    <t>FALL 2004</t>
  </si>
  <si>
    <t>Pre-Education</t>
  </si>
  <si>
    <t>FALL HEADCOUNT BY DEPARTMENT AND MAJOR</t>
  </si>
  <si>
    <t>Trident Technical College</t>
  </si>
  <si>
    <t>USC-Beaufort</t>
  </si>
  <si>
    <t>USC-Lancaster</t>
  </si>
  <si>
    <t>USC-Salkehatchie</t>
  </si>
  <si>
    <t>USC-Sumter</t>
  </si>
  <si>
    <t>USC-Union</t>
  </si>
  <si>
    <t>Williamsburg Technical College</t>
  </si>
  <si>
    <t>York Technical College</t>
  </si>
  <si>
    <t xml:space="preserve"> PUBLIC SENIOR COLLEGES AND UNIVERSITIES</t>
  </si>
  <si>
    <t>The Citadel</t>
  </si>
  <si>
    <t>Clemson University</t>
  </si>
  <si>
    <t>Coastal Carolina University</t>
  </si>
  <si>
    <t>College of Charleston</t>
  </si>
  <si>
    <t>Francis Marion University</t>
  </si>
  <si>
    <t>Medical University of S.C.</t>
  </si>
  <si>
    <t>S.C. State University</t>
  </si>
  <si>
    <t>USC-Aiken</t>
  </si>
  <si>
    <t>USC-Columbia</t>
  </si>
  <si>
    <t>Winthrop University</t>
  </si>
  <si>
    <t xml:space="preserve">PRIVATE JUNIOR COLLEGES </t>
  </si>
  <si>
    <t>Degrees Conferred History by Division Five-Year Averages</t>
  </si>
  <si>
    <t>Columbia Junior College</t>
  </si>
  <si>
    <t>Spartanburg Methodist College</t>
  </si>
  <si>
    <t>PRIVATE SENIOR COLLEGES AND UNIVERSITIES</t>
  </si>
  <si>
    <t>Allen University</t>
  </si>
  <si>
    <t>Benedict College</t>
  </si>
  <si>
    <t>Bob Jones University</t>
  </si>
  <si>
    <t>Central Wesleyan College</t>
  </si>
  <si>
    <t>Charleston Southern University</t>
  </si>
  <si>
    <t>Claflin College</t>
  </si>
  <si>
    <t>Coker College</t>
  </si>
  <si>
    <t>Columbia Bible College</t>
  </si>
  <si>
    <t>Columbia College</t>
  </si>
  <si>
    <t>Converse College</t>
  </si>
  <si>
    <t>Erskine College</t>
  </si>
  <si>
    <t>Furman University</t>
  </si>
  <si>
    <t>Limestone College</t>
  </si>
  <si>
    <t>Morris College</t>
  </si>
  <si>
    <t>Newberry College</t>
  </si>
  <si>
    <t>North Greenville College</t>
  </si>
  <si>
    <t>Presbyterian College</t>
  </si>
  <si>
    <t>Southern Methodist College</t>
  </si>
  <si>
    <t>Voorhees College</t>
  </si>
  <si>
    <t>Wofford College</t>
  </si>
  <si>
    <t>SUMMARY</t>
  </si>
  <si>
    <t>Public Junior/Technical Colleges</t>
  </si>
  <si>
    <t>FALL 2007</t>
  </si>
  <si>
    <t>Computer Information Systems</t>
  </si>
  <si>
    <t>Gerontology/Certificate</t>
  </si>
  <si>
    <t>Health Agency/Health Care Mgmt.</t>
  </si>
  <si>
    <t>Journalism</t>
  </si>
  <si>
    <t>Public Senior Colleges/Universities</t>
  </si>
  <si>
    <t>Private Junior Colleges</t>
  </si>
  <si>
    <t>Private Senior Colleges/Universities</t>
  </si>
  <si>
    <t>Non-Resident</t>
  </si>
  <si>
    <t>Amer. Indian/</t>
  </si>
  <si>
    <t>White</t>
  </si>
  <si>
    <t>GRAND</t>
  </si>
  <si>
    <t>Alien</t>
  </si>
  <si>
    <t>Alaskan Native</t>
  </si>
  <si>
    <t>Pacific Islander</t>
  </si>
  <si>
    <t>Other</t>
  </si>
  <si>
    <t>INTENSITY AND CLASSIFICATION OF STUDENT</t>
  </si>
  <si>
    <t>Male</t>
  </si>
  <si>
    <t>Female</t>
  </si>
  <si>
    <t>% of GRAND TOTAL</t>
  </si>
  <si>
    <t>FULL-TIME STUDENTS</t>
  </si>
  <si>
    <t xml:space="preserve">    Second Year</t>
  </si>
  <si>
    <t xml:space="preserve">    Third Year</t>
  </si>
  <si>
    <t xml:space="preserve">    Fourth Year/Beyond</t>
  </si>
  <si>
    <t xml:space="preserve">    Non-Degree UG</t>
  </si>
  <si>
    <t>UG SUBTOTAL</t>
  </si>
  <si>
    <t>Degree Graduate</t>
  </si>
  <si>
    <t>Non-Degree Graduate</t>
  </si>
  <si>
    <t>GRAD SUBTOTAL</t>
  </si>
  <si>
    <t>TOTAL FULL-TIME</t>
  </si>
  <si>
    <t>PART-TIME STUDENTS</t>
  </si>
  <si>
    <t xml:space="preserve">    Degree Graduate</t>
  </si>
  <si>
    <t xml:space="preserve">    Non-Degree Graduate</t>
  </si>
  <si>
    <t>TOTAL PART-TIME</t>
  </si>
  <si>
    <t>GRAND TOTAL</t>
  </si>
  <si>
    <t>Figures are derived by Integrated Postsecondary Education Data System (IPEDS) requirements.</t>
  </si>
  <si>
    <t>FALL CREDIT HOUR PRODUCTION (CHP)* BY DISCIPLINE</t>
  </si>
  <si>
    <t>DISCIPLINE BY SCHOOL/DIVISION</t>
  </si>
  <si>
    <t>Organizational Chart</t>
  </si>
  <si>
    <t>Lower Level</t>
  </si>
  <si>
    <t>Upper Level</t>
  </si>
  <si>
    <t>Graduate Level</t>
  </si>
  <si>
    <t>Total CHP</t>
  </si>
  <si>
    <t>% change in CHP</t>
  </si>
  <si>
    <t>PSYC</t>
  </si>
  <si>
    <t>SOCI</t>
  </si>
  <si>
    <t>Sub-total</t>
  </si>
  <si>
    <t>ACCT</t>
  </si>
  <si>
    <t>BA</t>
  </si>
  <si>
    <t>COOP</t>
  </si>
  <si>
    <t>ECON</t>
  </si>
  <si>
    <t>FINA</t>
  </si>
  <si>
    <t>HCMT</t>
  </si>
  <si>
    <t>MGMT</t>
  </si>
  <si>
    <t>MKT</t>
  </si>
  <si>
    <t>School of Education</t>
  </si>
  <si>
    <t>ECED</t>
  </si>
  <si>
    <t>EDUC</t>
  </si>
  <si>
    <t>EDPD</t>
  </si>
  <si>
    <t>SPED</t>
  </si>
  <si>
    <t>TFP</t>
  </si>
  <si>
    <t>ART</t>
  </si>
  <si>
    <t>DANC</t>
  </si>
  <si>
    <t>JOUR</t>
  </si>
  <si>
    <t>Fall 1992
(N=402)</t>
  </si>
  <si>
    <t>Fall 1993
(N= 496)</t>
  </si>
  <si>
    <t>MCOM</t>
  </si>
  <si>
    <t>MEDA</t>
  </si>
  <si>
    <t>MUS</t>
  </si>
  <si>
    <t>MUSI</t>
  </si>
  <si>
    <t>SPCH</t>
  </si>
  <si>
    <t>THTR</t>
  </si>
  <si>
    <t>HIST</t>
  </si>
  <si>
    <t>POLS</t>
  </si>
  <si>
    <t>ANTH</t>
  </si>
  <si>
    <t>ENGL</t>
  </si>
  <si>
    <t>FR</t>
  </si>
  <si>
    <t>GEOG</t>
  </si>
  <si>
    <t>HUMA</t>
  </si>
  <si>
    <t>PHIL</t>
  </si>
  <si>
    <t>SPAN</t>
  </si>
  <si>
    <t>Nursing</t>
  </si>
  <si>
    <t>NURS</t>
  </si>
  <si>
    <t>CSEM</t>
  </si>
  <si>
    <t>HS</t>
  </si>
  <si>
    <t>IDS</t>
  </si>
  <si>
    <t>IDSA</t>
  </si>
  <si>
    <t>LPLP</t>
  </si>
  <si>
    <t>MS</t>
  </si>
  <si>
    <t>Mass Communications/Theatre</t>
  </si>
  <si>
    <t>PEES</t>
  </si>
  <si>
    <t>BIOL</t>
  </si>
  <si>
    <t>CHEM</t>
  </si>
  <si>
    <t>ES</t>
  </si>
  <si>
    <t>GEOL</t>
  </si>
  <si>
    <t>PHYS</t>
  </si>
  <si>
    <t>PSCI</t>
  </si>
  <si>
    <t>*   Credit Hour Production (CHP) is the sum of credit hours produced in the discipline.</t>
  </si>
  <si>
    <t>SPRING CREDIT HOUR PRODUCTION (CHP)* BY DISCIPLINE</t>
  </si>
  <si>
    <t>FA</t>
  </si>
  <si>
    <t>Total FTE</t>
  </si>
  <si>
    <t>Visual Arts: Graphic Design</t>
  </si>
  <si>
    <t>% change in FTE</t>
  </si>
  <si>
    <t>FALL HEADCOUNT AND FTE HISTORY</t>
  </si>
  <si>
    <t>HEADCOUNT</t>
  </si>
  <si>
    <t>FTE</t>
  </si>
  <si>
    <t>UG</t>
  </si>
  <si>
    <t>GRAD</t>
  </si>
  <si>
    <t>FTE figures may not total due to rounding.</t>
  </si>
  <si>
    <t>SPRING HEADCOUNT AND FTE HISTORY</t>
  </si>
  <si>
    <t>Charleston Collegiate School</t>
  </si>
  <si>
    <t>Dillon Christian School</t>
  </si>
  <si>
    <t>Covenant Christian Academy</t>
  </si>
  <si>
    <t>Covenant Christian School</t>
  </si>
  <si>
    <t>SUMMER HEADCOUNT</t>
  </si>
  <si>
    <t>AND CREDIT HOUR PRODUCTION</t>
  </si>
  <si>
    <t>CREDIT HOUR PRODUCTION</t>
  </si>
  <si>
    <t>FALL HEADCOUNT ENROLLMENT BY CLASS</t>
  </si>
  <si>
    <t>Headcount</t>
  </si>
  <si>
    <t>% Change</t>
  </si>
  <si>
    <t>Freshman</t>
  </si>
  <si>
    <t>Sophomore</t>
  </si>
  <si>
    <t>Junior</t>
  </si>
  <si>
    <t>Senior</t>
  </si>
  <si>
    <t>Second Degree</t>
  </si>
  <si>
    <t>Non-Degree/Special</t>
  </si>
  <si>
    <t xml:space="preserve">     UG TOTAL</t>
  </si>
  <si>
    <t>G TOTAL</t>
  </si>
  <si>
    <t>SPRING HEADCOUNT ENROLLMENT BY CLASS</t>
  </si>
  <si>
    <t>SUMMER HEADCOUNT ENROLLMENT BY CLASS</t>
  </si>
  <si>
    <t>N/A</t>
  </si>
  <si>
    <t>% CHANGE</t>
  </si>
  <si>
    <t>Psychology</t>
  </si>
  <si>
    <t>Psychology*</t>
  </si>
  <si>
    <t>Psychology: Counseling</t>
  </si>
  <si>
    <t>English:  Applied Emphasis</t>
  </si>
  <si>
    <t>Psychology: Counseling*</t>
  </si>
  <si>
    <t>2003-2004</t>
  </si>
  <si>
    <t>Sociology</t>
  </si>
  <si>
    <t>Sociology*</t>
  </si>
  <si>
    <t>Sociology: Criminal Justice</t>
  </si>
  <si>
    <t>Sociology: Criminal Justice*</t>
  </si>
  <si>
    <t>Biology</t>
  </si>
  <si>
    <t>Chemistry</t>
  </si>
  <si>
    <t>Chemistry (Engineering)</t>
  </si>
  <si>
    <t>Environmental Science</t>
  </si>
  <si>
    <t>Medical Technology</t>
  </si>
  <si>
    <t>Pre-Allied Health</t>
  </si>
  <si>
    <t>Pre-Dentistry</t>
  </si>
  <si>
    <t>Serbia and Montenegro</t>
  </si>
  <si>
    <t>Spain</t>
  </si>
  <si>
    <t>Taiwan</t>
  </si>
  <si>
    <t>Pre-Medical</t>
  </si>
  <si>
    <t>Pre-Pharmacy</t>
  </si>
  <si>
    <t>Pre-Vet</t>
  </si>
  <si>
    <t>Mass Communications/Theatre: Mass Communications</t>
  </si>
  <si>
    <t>Mass Communications/Theatre: Theatre</t>
  </si>
  <si>
    <t>Music</t>
  </si>
  <si>
    <t>Music Education</t>
  </si>
  <si>
    <t>Speech and Theatre</t>
  </si>
  <si>
    <t>Visual Arts</t>
  </si>
  <si>
    <t>History</t>
  </si>
  <si>
    <t>Political Science</t>
  </si>
  <si>
    <t>Pre-Law</t>
  </si>
  <si>
    <t>English</t>
  </si>
  <si>
    <t>Spanish</t>
  </si>
  <si>
    <t>Psychology: Developmental Psychology</t>
  </si>
  <si>
    <t>Computer Information Systems: (Engineering)</t>
  </si>
  <si>
    <t>Computer Information Systems: Information Science</t>
  </si>
  <si>
    <t>Computer Information Systems: Regular</t>
  </si>
  <si>
    <t>Mathematics: (Engineering)</t>
  </si>
  <si>
    <t>Health Care Management Certificate</t>
  </si>
  <si>
    <t>Computer Information Systems: Network/Telecom</t>
  </si>
  <si>
    <t>Mathematics</t>
  </si>
  <si>
    <t>Nursing Applicant</t>
  </si>
  <si>
    <t>Pre-Nursing</t>
  </si>
  <si>
    <t>General Education/Undeclared</t>
  </si>
  <si>
    <t>Interdisciplinary Studies</t>
  </si>
  <si>
    <t>Pre-Interdisciplinary Studies</t>
  </si>
  <si>
    <t>Undeclared</t>
  </si>
  <si>
    <t>Exercise Studies: Athletic Training</t>
  </si>
  <si>
    <t>Exercise Studies: Exercise Science</t>
  </si>
  <si>
    <t>MONT</t>
  </si>
  <si>
    <t>Physical Education</t>
  </si>
  <si>
    <t>Business: Accounting</t>
  </si>
  <si>
    <t>GRADUATION/RETENTION RATES</t>
  </si>
  <si>
    <t>First-time, Full-time Transfers</t>
  </si>
  <si>
    <t>Freshmen Retention and Attrition</t>
  </si>
  <si>
    <t>Transfer Retention and Attrition</t>
  </si>
  <si>
    <t>Business: Economics/Finance</t>
  </si>
  <si>
    <t>Business: General</t>
  </si>
  <si>
    <t>Business: Health Care Management</t>
  </si>
  <si>
    <t>Business: Management/Marketing</t>
  </si>
  <si>
    <t>West Ashley High School</t>
  </si>
  <si>
    <t>Colleton County High School</t>
  </si>
  <si>
    <t>Greenville Tech Charter HS</t>
  </si>
  <si>
    <t>South Carolina Governor's School</t>
  </si>
  <si>
    <t>Laurens Academy</t>
  </si>
  <si>
    <t>Art Concentration (M.A.T.)</t>
  </si>
  <si>
    <t>Early Childhood Education</t>
  </si>
  <si>
    <t>Elementary Education</t>
  </si>
  <si>
    <t>Elementary Education (M.Ed.)</t>
  </si>
  <si>
    <t>Special Education</t>
  </si>
  <si>
    <t>Undeclared (Graduate-level)</t>
  </si>
  <si>
    <t>*Approved programs at the University Center in Greenville, SC.</t>
  </si>
  <si>
    <t>Vice President</t>
  </si>
  <si>
    <t>FALL HEADCOUNT BY MINOR</t>
  </si>
  <si>
    <t>Code</t>
  </si>
  <si>
    <t>African American Studies</t>
  </si>
  <si>
    <t>Anthropology</t>
  </si>
  <si>
    <t>Art History</t>
  </si>
  <si>
    <t>Business Administration</t>
  </si>
  <si>
    <t>Child and Family Studies</t>
  </si>
  <si>
    <t>Coaching Education</t>
  </si>
  <si>
    <t>Dance</t>
  </si>
  <si>
    <t>Electronic Art</t>
  </si>
  <si>
    <t>English (Applied Emphasis)</t>
  </si>
  <si>
    <t>French</t>
  </si>
  <si>
    <t>Health Care Management</t>
  </si>
  <si>
    <t>International Studies</t>
  </si>
  <si>
    <t>Mass Communucations</t>
  </si>
  <si>
    <t>Mass Media</t>
  </si>
  <si>
    <t>Media Production</t>
  </si>
  <si>
    <t>Philosophy-Religion</t>
  </si>
  <si>
    <t>Writing</t>
  </si>
  <si>
    <r>
      <t xml:space="preserve">     Sub-Total </t>
    </r>
    <r>
      <rPr>
        <sz val="8"/>
        <rFont val="Arial"/>
        <family val="2"/>
      </rPr>
      <t>(with Minor)</t>
    </r>
  </si>
  <si>
    <r>
      <t xml:space="preserve">     Sub-Total </t>
    </r>
    <r>
      <rPr>
        <sz val="8"/>
        <rFont val="Arial"/>
        <family val="2"/>
      </rPr>
      <t>(without Minor)</t>
    </r>
  </si>
  <si>
    <r>
      <t xml:space="preserve">     Sub-Total</t>
    </r>
    <r>
      <rPr>
        <sz val="8"/>
        <rFont val="Arial"/>
        <family val="2"/>
      </rPr>
      <t xml:space="preserve"> (Graduate-level students)</t>
    </r>
  </si>
  <si>
    <t>LU</t>
  </si>
  <si>
    <t>Exercise Science</t>
  </si>
  <si>
    <t>Exercise Studies</t>
  </si>
  <si>
    <t>ELECTRONIC SEARCH STATISTICS</t>
  </si>
  <si>
    <t>AVERAGE STUDENT AGE</t>
  </si>
  <si>
    <t>FALL OF…</t>
  </si>
  <si>
    <t>UNDERGRADUATE</t>
  </si>
  <si>
    <t>GRADUATE</t>
  </si>
  <si>
    <t>ALL STUDENTS</t>
  </si>
  <si>
    <t>Under-graduate Average</t>
  </si>
  <si>
    <t>Graduate Average</t>
  </si>
  <si>
    <t>All Students Average</t>
  </si>
  <si>
    <t>SPRING OF…</t>
  </si>
  <si>
    <t>Under-    graduate Average</t>
  </si>
  <si>
    <t>Average Ages were calculated as of the last day of the term.</t>
  </si>
  <si>
    <t>AFRICAN-AMERICAN STUDENT ENROLLMENT</t>
  </si>
  <si>
    <t>%</t>
  </si>
  <si>
    <t>Total Female</t>
  </si>
  <si>
    <t>Total African-American</t>
  </si>
  <si>
    <t>Total Students</t>
  </si>
  <si>
    <t>Black Male</t>
  </si>
  <si>
    <t>Black Female</t>
  </si>
  <si>
    <t>Total Black</t>
  </si>
  <si>
    <t>GEOGRAPHICAL DISTRIBUTION OF STUDENTS BY STATE</t>
  </si>
  <si>
    <t>LOCATION</t>
  </si>
  <si>
    <t>Alabama</t>
  </si>
  <si>
    <t>Arizona</t>
  </si>
  <si>
    <t>Arkansas</t>
  </si>
  <si>
    <t>California</t>
  </si>
  <si>
    <t>Colorado</t>
  </si>
  <si>
    <t>Connecticut</t>
  </si>
  <si>
    <t>District of Columbia</t>
  </si>
  <si>
    <t>Florida</t>
  </si>
  <si>
    <t>Georgia</t>
  </si>
  <si>
    <t>Idaho</t>
  </si>
  <si>
    <t>Illinois</t>
  </si>
  <si>
    <t>Indiana</t>
  </si>
  <si>
    <t>Kansas</t>
  </si>
  <si>
    <t>Kentucky</t>
  </si>
  <si>
    <t>Louisiana</t>
  </si>
  <si>
    <t>Maine</t>
  </si>
  <si>
    <t>Maryland</t>
  </si>
  <si>
    <t>Massachusetts</t>
  </si>
  <si>
    <t>Michigan</t>
  </si>
  <si>
    <t>Minnesota</t>
  </si>
  <si>
    <t>Mississippi</t>
  </si>
  <si>
    <t>Missouri</t>
  </si>
  <si>
    <t>Montana</t>
  </si>
  <si>
    <t>New Hampshire</t>
  </si>
  <si>
    <t>New Jersey</t>
  </si>
  <si>
    <t>New York</t>
  </si>
  <si>
    <t>North Carolina</t>
  </si>
  <si>
    <t>Ohio</t>
  </si>
  <si>
    <t>Oklahoma</t>
  </si>
  <si>
    <t>Oregon</t>
  </si>
  <si>
    <t>Pennsylvania</t>
  </si>
  <si>
    <t>Rhode Island</t>
  </si>
  <si>
    <t>South Carolina</t>
  </si>
  <si>
    <t>Tennessee</t>
  </si>
  <si>
    <t>Texas</t>
  </si>
  <si>
    <t>Vermont</t>
  </si>
  <si>
    <t>Virginia</t>
  </si>
  <si>
    <t>Washington</t>
  </si>
  <si>
    <t>West Virginia</t>
  </si>
  <si>
    <t>Wisconsin</t>
  </si>
  <si>
    <t>Foreign</t>
  </si>
  <si>
    <t>COUNTY</t>
  </si>
  <si>
    <t>Abbeville</t>
  </si>
  <si>
    <t>Aiken</t>
  </si>
  <si>
    <t>Allendale</t>
  </si>
  <si>
    <t>Anderson</t>
  </si>
  <si>
    <t>Bamberg</t>
  </si>
  <si>
    <t>Barnwell</t>
  </si>
  <si>
    <t>Beaufort</t>
  </si>
  <si>
    <t>Calhoun</t>
  </si>
  <si>
    <t>Charleston</t>
  </si>
  <si>
    <t>Cherokee</t>
  </si>
  <si>
    <t>Philosophy</t>
  </si>
  <si>
    <t>Computer Science/CIS</t>
  </si>
  <si>
    <t>Chester</t>
  </si>
  <si>
    <t>Chesterfield</t>
  </si>
  <si>
    <t>Clarendon</t>
  </si>
  <si>
    <t>Colleton</t>
  </si>
  <si>
    <t>Darlington</t>
  </si>
  <si>
    <t>Dillon</t>
  </si>
  <si>
    <t>Dorchester</t>
  </si>
  <si>
    <t>Edgefield</t>
  </si>
  <si>
    <t>Fairfield</t>
  </si>
  <si>
    <t>Florence</t>
  </si>
  <si>
    <t>Georgetown</t>
  </si>
  <si>
    <t>Greenville</t>
  </si>
  <si>
    <t>Greenwood</t>
  </si>
  <si>
    <t>Hampton</t>
  </si>
  <si>
    <t>Horry</t>
  </si>
  <si>
    <t>Jasper</t>
  </si>
  <si>
    <t>Kershaw</t>
  </si>
  <si>
    <t>Lancaster</t>
  </si>
  <si>
    <t>Laurens</t>
  </si>
  <si>
    <t>Lee</t>
  </si>
  <si>
    <t>Lexington</t>
  </si>
  <si>
    <t>Marion</t>
  </si>
  <si>
    <t>Marlboro</t>
  </si>
  <si>
    <t>First-time Freshmen by SC High School</t>
  </si>
  <si>
    <t>McCormick</t>
  </si>
  <si>
    <t>Newberry</t>
  </si>
  <si>
    <t>Oconee</t>
  </si>
  <si>
    <t>Orangeburg</t>
  </si>
  <si>
    <t>Pickens</t>
  </si>
  <si>
    <t>Richland</t>
  </si>
  <si>
    <t>Saluda</t>
  </si>
  <si>
    <t>Spartanburg</t>
  </si>
  <si>
    <t>Sumter</t>
  </si>
  <si>
    <t>Union</t>
  </si>
  <si>
    <t>Lander University</t>
  </si>
  <si>
    <t>Bahamas</t>
  </si>
  <si>
    <t xml:space="preserve">     Employee Benefits</t>
  </si>
  <si>
    <t xml:space="preserve">     Compensation</t>
  </si>
  <si>
    <t xml:space="preserve">                   Total Capital Improvement Bond Proceeds</t>
  </si>
  <si>
    <t>2005-2006</t>
  </si>
  <si>
    <t>Williamsburg</t>
  </si>
  <si>
    <t>York</t>
  </si>
  <si>
    <t>Total S.C. Students</t>
  </si>
  <si>
    <t>Out-of-State</t>
  </si>
  <si>
    <t>GEOGRAPHICAL DISTRIBUTION OF STUDENTS BY COUNTRY OF ORIGIN</t>
  </si>
  <si>
    <t>COUNTRY</t>
  </si>
  <si>
    <t>Albania</t>
  </si>
  <si>
    <t>Argentina</t>
  </si>
  <si>
    <t>Australia</t>
  </si>
  <si>
    <t>Barbados</t>
  </si>
  <si>
    <t>Bolivia</t>
  </si>
  <si>
    <t>Brazil</t>
  </si>
  <si>
    <t>Bulgaria</t>
  </si>
  <si>
    <t>Canada</t>
  </si>
  <si>
    <t>Ecuador</t>
  </si>
  <si>
    <t>Finland</t>
  </si>
  <si>
    <t>France</t>
  </si>
  <si>
    <t>Germany</t>
  </si>
  <si>
    <t>India</t>
  </si>
  <si>
    <t>Nigeria</t>
  </si>
  <si>
    <t>Norway</t>
  </si>
  <si>
    <t>South Africa</t>
  </si>
  <si>
    <t>Sweden</t>
  </si>
  <si>
    <t>Trinidad</t>
  </si>
  <si>
    <t>United Kingdom</t>
  </si>
  <si>
    <t>Yugoslavia</t>
  </si>
  <si>
    <t>Zambia</t>
  </si>
  <si>
    <t>Zimbabwe</t>
  </si>
  <si>
    <t>Total Foreign</t>
  </si>
  <si>
    <t>S.C. Students</t>
  </si>
  <si>
    <t>FALL IN-STATE AND OUT-OF-STATE DISTRIBUTION OF HEADCOUNT ENROLLMENT</t>
  </si>
  <si>
    <t>S.C. RESIDENTS</t>
  </si>
  <si>
    <t>OUT-OF-STATE RESIDENTS</t>
  </si>
  <si>
    <t>#</t>
  </si>
  <si>
    <t>SPRING IN-STATE AND OUT-OF-STATE DISTRIBUTION OF HEADCOUNT ENROLLMENT</t>
  </si>
  <si>
    <t>1997-1998</t>
  </si>
  <si>
    <t>1998-1999</t>
  </si>
  <si>
    <t>1999-2000</t>
  </si>
  <si>
    <t>Barrett Hall</t>
  </si>
  <si>
    <t>BIPD</t>
  </si>
  <si>
    <t>CIS</t>
  </si>
  <si>
    <t>Political Science: Public Administration*</t>
  </si>
  <si>
    <t>GEOGRAPHICAL DISTRIBUTION
OF STUDENTS BY
SOUTH CAROLINA COUNTY</t>
  </si>
  <si>
    <t>GEOGRAPHICAL DISTRIBUTION OF
ALUMNI BY STATE</t>
  </si>
  <si>
    <t>2002-2003</t>
  </si>
  <si>
    <t>FALL 2002</t>
  </si>
  <si>
    <t>Fall Headcount History by Class</t>
  </si>
  <si>
    <t>Spring Headcount History by Class</t>
  </si>
  <si>
    <t>Summer Headcount History by Class</t>
  </si>
  <si>
    <t>Fall semester</t>
  </si>
  <si>
    <t>CLASS</t>
  </si>
  <si>
    <t>Spring Enrollment</t>
  </si>
  <si>
    <t>Summer Enrollment</t>
  </si>
  <si>
    <t>Uruguay</t>
  </si>
  <si>
    <t>Mass Communications/Theatre: Speech and Theatre</t>
  </si>
  <si>
    <t>Political Science: Pre-Law*</t>
  </si>
  <si>
    <t>Nursing: RN to BSN: On-Line</t>
  </si>
  <si>
    <t>Chesterfield-Marlboro Technical College - Northeastern Technical College</t>
  </si>
  <si>
    <t>% ENROLLED OF ACCEPTED</t>
  </si>
  <si>
    <t>Fall 1998
(N=487)</t>
  </si>
  <si>
    <t>Fall 2001
(N=487)</t>
  </si>
  <si>
    <t>Fall 2001
(N=169)</t>
  </si>
  <si>
    <t>FALL FTE TEACHING FACULTY
 BY DIVISION AND RANK</t>
  </si>
  <si>
    <t>FTE Students</t>
  </si>
  <si>
    <t>FTE Teaching Faculty</t>
  </si>
  <si>
    <t>FTE Student/Faculty Ratio</t>
  </si>
  <si>
    <t>DISCIPLINE</t>
  </si>
  <si>
    <t>PROFESSOR</t>
  </si>
  <si>
    <t>ASSOCIATE PROFESSOR</t>
  </si>
  <si>
    <t>ASSISTANT PROFESSOR</t>
  </si>
  <si>
    <t>INSTRUCTOR</t>
  </si>
  <si>
    <t>LECTURER</t>
  </si>
  <si>
    <t>Art</t>
  </si>
  <si>
    <t>Business</t>
  </si>
  <si>
    <t>Education</t>
  </si>
  <si>
    <t>English/Foreign Language</t>
  </si>
  <si>
    <t>History and Philosophy</t>
  </si>
  <si>
    <t>Math and Computing</t>
  </si>
  <si>
    <t>Physical Sciences</t>
  </si>
  <si>
    <t>Political and Social Science</t>
  </si>
  <si>
    <t>BY DIVISION/SCHOOL BY TENURE STATUS</t>
  </si>
  <si>
    <t>AND TERMINAL DEGREE</t>
  </si>
  <si>
    <t>DIVISION/SCHOOL</t>
  </si>
  <si>
    <t>TOTAL FULL-TIME FACULTY</t>
  </si>
  <si>
    <t>NUMBER WITH TENURE</t>
  </si>
  <si>
    <t>NUMBER WITH TERMINAL DEGREE</t>
  </si>
  <si>
    <t>Physical Science</t>
  </si>
  <si>
    <t>Rank</t>
  </si>
  <si>
    <t>Professor</t>
  </si>
  <si>
    <t>Associate Professor</t>
  </si>
  <si>
    <t>Assistant Professor</t>
  </si>
  <si>
    <t>Instructor</t>
  </si>
  <si>
    <t>Lecturer</t>
  </si>
  <si>
    <t>Figures include all faculty with rank of instructor or higher with the exception of the President, the Vice-President for Academic Affairs, and librarians.</t>
  </si>
  <si>
    <t>AVERAGE NINE-MONTH FACULTY SALARIES BY RANK</t>
  </si>
  <si>
    <t>Figures include all faculty (including librarians) with rank of instructor or higher with the exception of the President and Vice-President for Academic Affairs.</t>
  </si>
  <si>
    <t>Twelve-month salaries have been converted to nine-month salary equivalents.</t>
  </si>
  <si>
    <t>ACADEMIC FEES HISTORY</t>
  </si>
  <si>
    <t>IN-STATE</t>
  </si>
  <si>
    <t>OUT-OF-STATE</t>
  </si>
  <si>
    <t>Figures do not include fees for Housing or Food Service.</t>
  </si>
  <si>
    <t>2008-2009</t>
  </si>
  <si>
    <t>FALL 2008</t>
  </si>
  <si>
    <t>Avg</t>
  </si>
  <si>
    <t>% Gr Tot $</t>
  </si>
  <si>
    <t>Grand Total****</t>
  </si>
  <si>
    <t>** LIFE Enhancement Scholarships began in the 2007-08 Academic Year</t>
  </si>
  <si>
    <t>** Palmetto Fellows Enhancement Scholarships began in the 2007-08 Academic Year</t>
  </si>
  <si>
    <t>** SC National Guard CAP program began in the 2007-08 Academic Year</t>
  </si>
  <si>
    <t>** SC Need-Based Foster Care Youth grant began in the 2007-08 Academic Year</t>
  </si>
  <si>
    <t>**** Grand Total/Students are Unduplicated</t>
  </si>
  <si>
    <t>Austria</t>
  </si>
  <si>
    <t>Columbia</t>
  </si>
  <si>
    <t>Public Adminstration</t>
  </si>
  <si>
    <t>RELI</t>
  </si>
  <si>
    <t>2011-2012</t>
  </si>
  <si>
    <t>Fall 2003: First-time, Full-time Freshmen Graduation Rates</t>
  </si>
  <si>
    <t>Fall 2004: First-time, Full-time Freshmen Graduation Rates</t>
  </si>
  <si>
    <t>Fall 2005: First-time, Full-time Freshmen Graduation Rates</t>
  </si>
  <si>
    <t>Vice President for Governmental Affairs</t>
  </si>
  <si>
    <t>J. Adam Taylor</t>
  </si>
  <si>
    <t>Ralph E. Patterson</t>
  </si>
  <si>
    <t>Vice President for University Advancement</t>
  </si>
  <si>
    <t>FALL 2009</t>
  </si>
  <si>
    <t>FALL 2010</t>
  </si>
  <si>
    <t>FALL 2011</t>
  </si>
  <si>
    <t>2009-2010</t>
  </si>
  <si>
    <t>2010-2011</t>
  </si>
  <si>
    <t>Fall 2009</t>
  </si>
  <si>
    <t>Fall 2010</t>
  </si>
  <si>
    <t>Fall 2011</t>
  </si>
  <si>
    <t>Spring 2010</t>
  </si>
  <si>
    <t>Spring 2011</t>
  </si>
  <si>
    <t>Spring 2012</t>
  </si>
  <si>
    <t>Summer 2010</t>
  </si>
  <si>
    <t>Summer 2011</t>
  </si>
  <si>
    <t>Summer 2012</t>
  </si>
  <si>
    <t xml:space="preserve">Two or </t>
  </si>
  <si>
    <t>More Races</t>
  </si>
  <si>
    <t>Native Hawaiian/</t>
  </si>
  <si>
    <t>Black</t>
  </si>
  <si>
    <t>Asian</t>
  </si>
  <si>
    <t>Serbia</t>
  </si>
  <si>
    <t>EQUN</t>
  </si>
  <si>
    <t>EQUR</t>
  </si>
  <si>
    <t>Summer 2008</t>
  </si>
  <si>
    <t>Summer 2009</t>
  </si>
  <si>
    <t>HIPD</t>
  </si>
  <si>
    <t>North Dakota</t>
  </si>
  <si>
    <t xml:space="preserve">Aiken Performing Arts Academy </t>
  </si>
  <si>
    <t>Augusta Christian School</t>
  </si>
  <si>
    <t>Aquinas High School</t>
  </si>
  <si>
    <t>FALL2006</t>
  </si>
  <si>
    <t>Anderson Christian School</t>
  </si>
  <si>
    <t>Fork Union Military Academy</t>
  </si>
  <si>
    <t>Cross Creek High School</t>
  </si>
  <si>
    <t>Catherdral Academy</t>
  </si>
  <si>
    <t>Military Magnet Academy</t>
  </si>
  <si>
    <t>Cane Bay HS</t>
  </si>
  <si>
    <t>Woodland High School</t>
  </si>
  <si>
    <t>Brashier Middle Clg Charter HS</t>
  </si>
  <si>
    <t>The Fine Arts Center</t>
  </si>
  <si>
    <t>Palmetto Christain Academy</t>
  </si>
  <si>
    <t>Hardeeville HS</t>
  </si>
  <si>
    <t>Ridgeland High School</t>
  </si>
  <si>
    <t>Lee Central High School</t>
  </si>
  <si>
    <t>Camden Military Academy</t>
  </si>
  <si>
    <t>Fall 2006</t>
  </si>
  <si>
    <t>Creek Bridge HS</t>
  </si>
  <si>
    <t>Bethune Bowman HS</t>
  </si>
  <si>
    <t>Easley Christian HS</t>
  </si>
  <si>
    <t>Blythewood High School</t>
  </si>
  <si>
    <t>Provost Academy</t>
  </si>
  <si>
    <t>Richland One Middle College</t>
  </si>
  <si>
    <t>SC Connections Academy</t>
  </si>
  <si>
    <t>Oakbrook Preparatory School</t>
  </si>
  <si>
    <t xml:space="preserve">Nation Ford HS </t>
  </si>
  <si>
    <t>South Pointe High School</t>
  </si>
  <si>
    <t>Fall 2008</t>
  </si>
  <si>
    <t>Fall 2007</t>
  </si>
  <si>
    <t>Spring 2009</t>
  </si>
  <si>
    <t>Spring 2008</t>
  </si>
  <si>
    <t>Elementary Education (M.Ed.): Teaching and Learning</t>
  </si>
  <si>
    <t>Political Science: Criminal Justice</t>
  </si>
  <si>
    <t>Computer Science</t>
  </si>
  <si>
    <t>Information Technology</t>
  </si>
  <si>
    <t>Military Science and Leadership</t>
  </si>
  <si>
    <t>Music Theatre</t>
  </si>
  <si>
    <t>Theatre</t>
  </si>
  <si>
    <t>Therapeutic Horsemanship</t>
  </si>
  <si>
    <t>Armed Forces - Europe</t>
  </si>
  <si>
    <t>Mauritius</t>
  </si>
  <si>
    <t>Slovenia</t>
  </si>
  <si>
    <t>Gambia</t>
  </si>
  <si>
    <t>Israel</t>
  </si>
  <si>
    <t>Denmark</t>
  </si>
  <si>
    <t>Indonesia</t>
  </si>
  <si>
    <t>Korea, Republic of</t>
  </si>
  <si>
    <t>Phillipines</t>
  </si>
  <si>
    <t>English - Professional Writing</t>
  </si>
  <si>
    <t>Mass Media/ Mass Communications</t>
  </si>
  <si>
    <t>Visual Arts: Graphics Design</t>
  </si>
  <si>
    <t>Mass Media/Mass Communications</t>
  </si>
  <si>
    <t>Figures under each academic year are derived by Intergrated Postsecondary Educaton Data System (IPEDS) requirements (combining graduates from the applicable fall and spring semesters and the summer PRIOR to the beginning of the academic year.</t>
  </si>
  <si>
    <t>FALL HEADCOUNT - TEACHER CERTIFICATION MAJOR</t>
  </si>
  <si>
    <t>Fall Headcount by Major - Teacher Certification</t>
  </si>
  <si>
    <t>Montessori (M.Ed.): Preschool (ages 3-6)  Primary (Grades 1-3)</t>
  </si>
  <si>
    <t>Maurice Holloway,  Vice Chairman of the Board</t>
  </si>
  <si>
    <t>Linda Dolny</t>
  </si>
  <si>
    <t>Dr. John Nicholson, Jr.</t>
  </si>
  <si>
    <t>Jack W. Lawrence, Secretary of the Board</t>
  </si>
  <si>
    <t>Mamie W. Nicholson, Institutional Advancement Committee Chair</t>
  </si>
  <si>
    <t>George R. Starnes, Student Affairs/Intercollegiate Athletics Committee Chair</t>
  </si>
  <si>
    <t>Robert A. Barber, Jr.</t>
  </si>
  <si>
    <t>Dr. Ann Hurst</t>
  </si>
  <si>
    <t>S. Anne Walker</t>
  </si>
  <si>
    <t>.</t>
  </si>
  <si>
    <t>Ann B. Bowen, Academic Affairs Committee Chair</t>
  </si>
  <si>
    <t xml:space="preserve">Raymond D. Hunt, Chairman of the Board </t>
  </si>
  <si>
    <t>Donald Lloyd, II</t>
  </si>
  <si>
    <t>The Honorable Nikki Haley, Governor of South Carolina</t>
  </si>
  <si>
    <t xml:space="preserve">     Designee:  Holly Bracknell</t>
  </si>
  <si>
    <t>Effective: April, 8, 2011</t>
  </si>
  <si>
    <t>Fall 2005</t>
  </si>
  <si>
    <t>Fall 2004</t>
  </si>
  <si>
    <t>Fall 2003</t>
  </si>
  <si>
    <t>Fall 2007
(N=433)</t>
  </si>
  <si>
    <t>Fall 2008
(N=555)</t>
  </si>
  <si>
    <t>Fall 2009
(N=582)</t>
  </si>
  <si>
    <t>Fall 2010
(N=686)</t>
  </si>
  <si>
    <t>Fall 2010 (N=186)</t>
  </si>
  <si>
    <t>Fall 2009 (N=230)</t>
  </si>
  <si>
    <t>Fall 2008 (N=181)</t>
  </si>
  <si>
    <t>Fall 2006 (N=159)</t>
  </si>
  <si>
    <t>Fall 2007 (N=180)</t>
  </si>
  <si>
    <t>Fall 2005 (N=159)</t>
  </si>
  <si>
    <t>Federal Grants</t>
  </si>
  <si>
    <t>Sub Total***</t>
  </si>
  <si>
    <t>* ACG grants began in 2006-2007 Academic Year &amp; ended 2010-11</t>
  </si>
  <si>
    <t>* SMART grants began in 2006-2007 Academic Year &amp; ended 2010-11</t>
  </si>
  <si>
    <t>*** Totals are duplicated headcounts</t>
  </si>
  <si>
    <t>2012-2013</t>
  </si>
  <si>
    <t>SAT Scores: Lander, State, National Averages (1996-2012)</t>
  </si>
  <si>
    <t>Fall 2012 Headcount</t>
  </si>
  <si>
    <t>Fall 2012 Credit Hour Production History by Discipline</t>
  </si>
  <si>
    <t>Fall 2012 FTE History by Discipline</t>
  </si>
  <si>
    <t>Spring 2013 Headcount</t>
  </si>
  <si>
    <t>Spring 2013 Credit Hour Production History by Discipline</t>
  </si>
  <si>
    <t>Spring 2013 FTE History by Discipline</t>
  </si>
  <si>
    <t>Summer 2013 Credit Hour Production History by Discipline</t>
  </si>
  <si>
    <t>Summer 2013 FTE History by Discipline</t>
  </si>
  <si>
    <t>Fall 2012 Teaching Faculty by School/Division and Rank</t>
  </si>
  <si>
    <t>Fall 2012 Faculty by School/Division by Tenure Status and Terminal Degree</t>
  </si>
  <si>
    <t>Fall 2012 Faculty Headcount by Rank and Gender</t>
  </si>
  <si>
    <t>Fall 2006: First-time, Full-time Freshmen Graduation Rates</t>
  </si>
  <si>
    <t>Fall 2012</t>
  </si>
  <si>
    <t>MUSK</t>
  </si>
  <si>
    <t>MUSN</t>
  </si>
  <si>
    <t>MUSV</t>
  </si>
  <si>
    <t>ESL</t>
  </si>
  <si>
    <t>ASC</t>
  </si>
  <si>
    <t>FALL 2012 HEADCOUNT ENROLLMENT</t>
  </si>
  <si>
    <t>SPRING 2013 HEADCOUNT ENROLLMENT</t>
  </si>
  <si>
    <t>FALL 2012 ENROLLMENT BY AGE AND GENDER</t>
  </si>
  <si>
    <t>Montessori Education (M.Ed.) - Preschool: Ages 3-6</t>
  </si>
  <si>
    <t>Montessori Education (M.Ed.) - Primary: Grades 1-3</t>
  </si>
  <si>
    <t>Teaching and Learning (M.Ed.) - Diverse Learners</t>
  </si>
  <si>
    <t>Teaching and Learning (M.Ed.) - Exercise and Sports Studies</t>
  </si>
  <si>
    <t>Teaching and Learning (M.Ed.) - Instructional Technology</t>
  </si>
  <si>
    <t>Music Education: Choral</t>
  </si>
  <si>
    <t>Music Education: Instrumental</t>
  </si>
  <si>
    <t>Music Education: Keyboard</t>
  </si>
  <si>
    <t>Music: Instrumental</t>
  </si>
  <si>
    <t>FALL 2012</t>
  </si>
  <si>
    <t>FALL HEADCOUNT BY DEPARTMENT AND MAJOR (Five Year Averages)</t>
  </si>
  <si>
    <t>English:  Professional Writing</t>
  </si>
  <si>
    <t>China</t>
  </si>
  <si>
    <t>Guatemala</t>
  </si>
  <si>
    <t>Mexico</t>
  </si>
  <si>
    <t>Peru</t>
  </si>
  <si>
    <t>Portugal</t>
  </si>
  <si>
    <t>In-State/Out-of-State Headcount History (Fall Updated)</t>
  </si>
  <si>
    <t>Music: Keyboard</t>
  </si>
  <si>
    <t>Music: Vocal</t>
  </si>
  <si>
    <t xml:space="preserve">Music Education </t>
  </si>
  <si>
    <t xml:space="preserve">Teaching and Learning (M.Ed.):  </t>
  </si>
  <si>
    <t>Teaching and Learning (M.Ed.): Diverse Learners</t>
  </si>
  <si>
    <t>Teaching and Learning (M.Ed.): Instructional Technology</t>
  </si>
  <si>
    <t>Montessori Education (M.Ed.):  Preschool (ages 3-6)</t>
  </si>
  <si>
    <t>Montessori Education (M.Ed.): Primary (grades 1-3)</t>
  </si>
  <si>
    <t>Spring 2013</t>
  </si>
  <si>
    <t>LDSH</t>
  </si>
  <si>
    <t>Fall and Spring Headcount and FTE History (Fall and Spring Updated)</t>
  </si>
  <si>
    <t>Average Student Age History (Fall and Spring Updated)</t>
  </si>
  <si>
    <t>Fall 2011
(N=595)</t>
  </si>
  <si>
    <t>Fall 2011 (N=175)</t>
  </si>
  <si>
    <t>Gary McCombs</t>
  </si>
  <si>
    <t>David S. Mash</t>
  </si>
  <si>
    <t>FRESHMEN AVERAGE SAT COMPARISONS (1996-2012)</t>
  </si>
  <si>
    <t>Charleston Charter Sch. For Sci. &amp; Math.</t>
  </si>
  <si>
    <t>Economics</t>
  </si>
  <si>
    <t>Musical Theatre</t>
  </si>
  <si>
    <t xml:space="preserve">    Gale Resources/DISCUS</t>
  </si>
  <si>
    <t xml:space="preserve">     PASCAL Books Sent</t>
  </si>
  <si>
    <t xml:space="preserve">     PASCAL Books Received</t>
  </si>
  <si>
    <t xml:space="preserve">     PASCAL Lending/Borrowing Ratio</t>
  </si>
  <si>
    <t>-</t>
  </si>
  <si>
    <t>REFERENCE QUESTIONS - TOTAL</t>
  </si>
  <si>
    <t>REFERENCE #(%)</t>
  </si>
  <si>
    <t># (%)</t>
  </si>
  <si>
    <t>Number of Online Courses Offered (Fall, Spring and Summer Updated)</t>
  </si>
  <si>
    <t>Teaching and Learning (M.Ed.): Exercise and Sports Studies</t>
  </si>
  <si>
    <t>Summer 2013</t>
  </si>
  <si>
    <t>Berkley Cty Middle College HS</t>
  </si>
  <si>
    <t>Spartanburg Christian Academcy</t>
  </si>
  <si>
    <t>Ashley Ridge High School</t>
  </si>
  <si>
    <t>Greer Middle Clg Charter HS</t>
  </si>
  <si>
    <t>South University: Columbia</t>
  </si>
  <si>
    <t>ECPI College: Greenville</t>
  </si>
  <si>
    <t>ITT Technical Institute: Greenville</t>
  </si>
  <si>
    <t>Southern Wesleyan University</t>
  </si>
  <si>
    <t>Clinton Junior College</t>
  </si>
  <si>
    <t>Northeastern Technical College</t>
  </si>
  <si>
    <t>Art Institute of Charleston</t>
  </si>
  <si>
    <t>RESIDENTIAL UNIT/DORMITORY</t>
  </si>
  <si>
    <t>Bearcat Village</t>
  </si>
  <si>
    <t>Centennial Hall</t>
  </si>
  <si>
    <t>Lander on the Square</t>
  </si>
  <si>
    <t>McGhee Court</t>
  </si>
  <si>
    <t>University Place</t>
  </si>
  <si>
    <t>TOTAL RESIDENTS</t>
  </si>
  <si>
    <t>% Occupancy</t>
  </si>
  <si>
    <t>FALL TO SPRING CHANGE</t>
  </si>
  <si>
    <t>Lander University Financial Aid Sources</t>
  </si>
  <si>
    <t>Avg.</t>
  </si>
  <si>
    <t>Federal Pell Grant   PELL</t>
  </si>
  <si>
    <t>Federal ACG Grant*  ACG1/ACG2</t>
  </si>
  <si>
    <t>Federal SEOG Grant  SEOG</t>
  </si>
  <si>
    <t>Federal SMART Grant* SMART3/SMART4</t>
  </si>
  <si>
    <t>Federal SSS Grant  SSS</t>
  </si>
  <si>
    <t>Federal Direct Sub Loan DLSUB/DLSB2</t>
  </si>
  <si>
    <t>Federal Direct Unsub Loan DLUSUB/DLUB2</t>
  </si>
  <si>
    <t>Federal Direct Parent Loan DLPLUS/DLPLS2</t>
  </si>
  <si>
    <t>Federal Perkins Loan PERK/PERK2</t>
  </si>
  <si>
    <t>Lander Work LWS</t>
  </si>
  <si>
    <t>Federal Work Study FWS/CWS</t>
  </si>
  <si>
    <t>SC LIFE Scholarship  LIFE</t>
  </si>
  <si>
    <t>SC Need-Based Grant  SCNBG</t>
  </si>
  <si>
    <t>SC HOPE Scholarship  HOPE</t>
  </si>
  <si>
    <t>SC Teaching Fellows  TFP</t>
  </si>
  <si>
    <t>SC Palmetto Fellows Scholarship PFS</t>
  </si>
  <si>
    <t>SC LIFE Enhancement Scholarship** LIFEEN</t>
  </si>
  <si>
    <t>SC Teachers Loan Program  TLP</t>
  </si>
  <si>
    <t>SC Vocational Rehabilitation  VOCREH (acpt)</t>
  </si>
  <si>
    <t>SC Palmetto Fellows Enhancement Sch**PFSEN</t>
  </si>
  <si>
    <t>SC National Guard CAP**  SCNGCA</t>
  </si>
  <si>
    <t>SC NBG - Foster Care Youth  SCNBFC</t>
  </si>
  <si>
    <t>Fee Waivers 4% &amp; inst_by_stu</t>
  </si>
  <si>
    <t>Fee Abatements (out-of-state) - NCAA ABATEA</t>
  </si>
  <si>
    <t>Fee Abatements (out-of-state) ABATE</t>
  </si>
  <si>
    <t>Athletic Scholarships Ath recipients by fund yr</t>
  </si>
  <si>
    <t>Foundation Academic Acad Fndtn by fund srce</t>
  </si>
  <si>
    <t>Alternative Loans Alt loans pd &gt;0 year</t>
  </si>
  <si>
    <t>Portable Scholarships/Grants Rec OUTSC yr awd</t>
  </si>
  <si>
    <t>Self Loans (now OUTSC scholarship, not loan)</t>
  </si>
  <si>
    <t>Total Financial Aid Volume in Dollars</t>
  </si>
  <si>
    <t>5 Yr Diff</t>
  </si>
  <si>
    <t>Annual Increase</t>
  </si>
  <si>
    <t>Financial Aid Award History</t>
  </si>
  <si>
    <t>Financial Aid Award History Graph</t>
  </si>
  <si>
    <t>FALL 2012 FULL-TIME TEACHING FACULTY BY DIVISION AND RANK</t>
  </si>
  <si>
    <t>FALL 2012 FULL-TIME FACULTY HEADCOUNT</t>
  </si>
  <si>
    <t>FALL 2012 FULL-TIME FACULTY HEADCOUNT BY RANK AND GENDER</t>
  </si>
  <si>
    <t>FULL-TIME UNDERGRADUATE</t>
  </si>
  <si>
    <t>AND CHANGES IN NET POSITION</t>
  </si>
  <si>
    <t>YEAR ENDED JUNE 30, 2013</t>
  </si>
  <si>
    <t xml:space="preserve">     Student Tuition and Fees (net of scholarship allowances of $14,787,449)</t>
  </si>
  <si>
    <t xml:space="preserve">     Sales and services of auxiliairy enterprises (pledged for debt service)</t>
  </si>
  <si>
    <t xml:space="preserve">   Other Revenues</t>
  </si>
  <si>
    <t xml:space="preserve">   Federal Grants and Contracts</t>
  </si>
  <si>
    <t xml:space="preserve">   Net loss on disposal of assets</t>
  </si>
  <si>
    <t>NET POSITION, BEGINNING OF YEAR, AS RESTATED</t>
  </si>
  <si>
    <t>NET POSITION, END OF YEAR</t>
  </si>
  <si>
    <t>2013-2014</t>
  </si>
  <si>
    <t>Data not yet provided by appropriate department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</si>
</sst>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2" formatCode="_(&quot;$&quot;* #,##0_);_(&quot;$&quot;* \(#,##0\);_(&quot;$&quot;* &quot;-&quot;_);_(@_)"/>
    <numFmt numFmtId="44" formatCode="_(&quot;$&quot;* #,##0.00_);_(&quot;$&quot;* \(#,##0.00\);_(&quot;$&quot;* &quot;-&quot;??_);_(@_)"/>
    <numFmt numFmtId="43" formatCode="_(* #,##0.00_);_(* \(#,##0.00\);_(* &quot;-&quot;??_);_(@_)"/>
    <numFmt numFmtId="164" formatCode="0.0%"/>
    <numFmt numFmtId="165" formatCode="0.0"/>
    <numFmt numFmtId="166" formatCode="0000"/>
    <numFmt numFmtId="167" formatCode="_(* #,##0_);_(* \(#,##0\);_(* &quot;-&quot;??_);_(@_)"/>
    <numFmt numFmtId="168" formatCode="_-&quot;£&quot;* #,##0_-;\-&quot;£&quot;* #,##0_-;_-&quot;£&quot;* &quot;-&quot;_-;_-@_-"/>
    <numFmt numFmtId="169" formatCode="_-&quot;£&quot;* #,##0.00_-;\-&quot;£&quot;* #,##0.00_-;_-&quot;£&quot;* &quot;-&quot;??_-;_-@_-"/>
    <numFmt numFmtId="170" formatCode="_-* #,##0\ &quot;DM&quot;_-;\-* #,##0\ &quot;DM&quot;_-;_-* &quot;-&quot;\ &quot;DM&quot;_-;_-@_-"/>
    <numFmt numFmtId="171" formatCode="_-* #,##0\ _D_M_-;\-* #,##0\ _D_M_-;_-* &quot;-&quot;\ _D_M_-;_-@_-"/>
    <numFmt numFmtId="172" formatCode="_-* #,##0.00\ &quot;DM&quot;_-;\-* #,##0.00\ &quot;DM&quot;_-;_-* &quot;-&quot;??\ &quot;DM&quot;_-;_-@_-"/>
    <numFmt numFmtId="173" formatCode="_-* #,##0.00\ _D_M_-;\-* #,##0.00\ _D_M_-;_-* &quot;-&quot;??\ _D_M_-;_-@_-"/>
    <numFmt numFmtId="174" formatCode="&quot;$&quot;#,##0"/>
    <numFmt numFmtId="175" formatCode="_(* #,##0.0_);_(* \(#,##0.0\);_(* &quot;-&quot;??_);_(@_)"/>
  </numFmts>
  <fonts count="62" x14ac:knownFonts="1">
    <font>
      <sz val="10"/>
      <name val="Arial"/>
    </font>
    <font>
      <sz val="10"/>
      <name val="Arial"/>
      <family val="2"/>
    </font>
    <font>
      <sz val="10"/>
      <name val="Arial"/>
      <family val="2"/>
    </font>
    <font>
      <sz val="10"/>
      <name val="MS Sans Serif"/>
      <family val="2"/>
    </font>
    <font>
      <sz val="12"/>
      <name val="Times New Roman"/>
      <family val="1"/>
    </font>
    <font>
      <u/>
      <sz val="10"/>
      <color indexed="12"/>
      <name val="Arial"/>
      <family val="2"/>
    </font>
    <font>
      <sz val="10"/>
      <name val="Arial"/>
      <family val="2"/>
    </font>
    <font>
      <sz val="14"/>
      <name val="Arial"/>
      <family val="2"/>
    </font>
    <font>
      <b/>
      <sz val="14"/>
      <name val="Arial"/>
      <family val="2"/>
    </font>
    <font>
      <b/>
      <sz val="16"/>
      <name val="Arial"/>
      <family val="2"/>
    </font>
    <font>
      <sz val="12"/>
      <name val="Arial"/>
      <family val="2"/>
    </font>
    <font>
      <b/>
      <sz val="10"/>
      <name val="Arial"/>
      <family val="2"/>
    </font>
    <font>
      <b/>
      <sz val="18"/>
      <name val="Arial"/>
      <family val="2"/>
    </font>
    <font>
      <b/>
      <sz val="10"/>
      <name val="Arial"/>
      <family val="2"/>
    </font>
    <font>
      <b/>
      <sz val="13.5"/>
      <name val="Arial"/>
      <family val="2"/>
    </font>
    <font>
      <sz val="8"/>
      <name val="Arial"/>
      <family val="2"/>
    </font>
    <font>
      <b/>
      <sz val="8"/>
      <name val="Arial"/>
      <family val="2"/>
    </font>
    <font>
      <b/>
      <i/>
      <sz val="10"/>
      <color indexed="8"/>
      <name val="Arial"/>
      <family val="2"/>
    </font>
    <font>
      <sz val="10"/>
      <color indexed="8"/>
      <name val="Arial"/>
      <family val="2"/>
    </font>
    <font>
      <b/>
      <sz val="10"/>
      <color indexed="8"/>
      <name val="Arial"/>
      <family val="2"/>
    </font>
    <font>
      <sz val="8"/>
      <name val="Arial"/>
      <family val="2"/>
    </font>
    <font>
      <b/>
      <sz val="15"/>
      <name val="Arial"/>
      <family val="2"/>
    </font>
    <font>
      <sz val="11"/>
      <name val="Arial"/>
      <family val="2"/>
    </font>
    <font>
      <b/>
      <sz val="12"/>
      <name val="Arial"/>
      <family val="2"/>
    </font>
    <font>
      <sz val="10"/>
      <color indexed="55"/>
      <name val="Arial"/>
      <family val="2"/>
    </font>
    <font>
      <b/>
      <sz val="8.5"/>
      <name val="Arial"/>
      <family val="2"/>
    </font>
    <font>
      <sz val="8"/>
      <color indexed="8"/>
      <name val="Tahoma"/>
      <family val="2"/>
    </font>
    <font>
      <sz val="10"/>
      <color indexed="10"/>
      <name val="Arial"/>
      <family val="2"/>
    </font>
    <font>
      <b/>
      <sz val="17"/>
      <name val="Arial"/>
      <family val="2"/>
    </font>
    <font>
      <i/>
      <sz val="10"/>
      <name val="Arial"/>
      <family val="2"/>
    </font>
    <font>
      <sz val="8"/>
      <color indexed="81"/>
      <name val="Tahoma"/>
      <family val="2"/>
    </font>
    <font>
      <b/>
      <sz val="8"/>
      <color indexed="81"/>
      <name val="Tahoma"/>
      <family val="2"/>
    </font>
    <font>
      <sz val="10"/>
      <color indexed="12"/>
      <name val="Arial"/>
      <family val="2"/>
    </font>
    <font>
      <sz val="10"/>
      <color indexed="17"/>
      <name val="Arial"/>
      <family val="2"/>
    </font>
    <font>
      <b/>
      <sz val="13"/>
      <name val="Arial"/>
      <family val="2"/>
    </font>
    <font>
      <b/>
      <sz val="7.5"/>
      <name val="Arial"/>
      <family val="2"/>
    </font>
    <font>
      <b/>
      <sz val="8"/>
      <color indexed="8"/>
      <name val="Tahoma"/>
      <family val="2"/>
    </font>
    <font>
      <b/>
      <sz val="11"/>
      <name val="Arial"/>
      <family val="2"/>
    </font>
    <font>
      <sz val="7"/>
      <name val="Arial"/>
      <family val="2"/>
    </font>
    <font>
      <sz val="12"/>
      <color indexed="10"/>
      <name val="Arial"/>
      <family val="2"/>
    </font>
    <font>
      <sz val="12"/>
      <name val="Arial"/>
      <family val="2"/>
    </font>
    <font>
      <sz val="10"/>
      <color indexed="15"/>
      <name val="Arial"/>
      <family val="2"/>
    </font>
    <font>
      <b/>
      <sz val="14"/>
      <color indexed="9"/>
      <name val="Arial"/>
      <family val="2"/>
    </font>
    <font>
      <sz val="13"/>
      <name val="Arial"/>
      <family val="2"/>
    </font>
    <font>
      <b/>
      <sz val="13"/>
      <color indexed="9"/>
      <name val="Arial"/>
      <family val="2"/>
    </font>
    <font>
      <u/>
      <sz val="12"/>
      <color indexed="12"/>
      <name val="Arial"/>
      <family val="2"/>
    </font>
    <font>
      <b/>
      <sz val="10"/>
      <color indexed="9"/>
      <name val="Arial"/>
      <family val="2"/>
    </font>
    <font>
      <sz val="9"/>
      <name val="Times New Roman"/>
      <family val="1"/>
    </font>
    <font>
      <b/>
      <sz val="12"/>
      <color indexed="81"/>
      <name val="Tahoma"/>
      <family val="2"/>
    </font>
    <font>
      <sz val="10"/>
      <color indexed="9"/>
      <name val="Arial"/>
      <family val="2"/>
    </font>
    <font>
      <b/>
      <sz val="13.5"/>
      <color indexed="9"/>
      <name val="Arial"/>
      <family val="2"/>
    </font>
    <font>
      <b/>
      <sz val="10"/>
      <color theme="0"/>
      <name val="Arial"/>
      <family val="2"/>
    </font>
    <font>
      <sz val="10"/>
      <color theme="0"/>
      <name val="Arial"/>
      <family val="2"/>
    </font>
    <font>
      <sz val="10"/>
      <color theme="5"/>
      <name val="Arial"/>
      <family val="2"/>
    </font>
    <font>
      <sz val="10"/>
      <color rgb="FFFF0000"/>
      <name val="Arial"/>
      <family val="2"/>
    </font>
    <font>
      <sz val="9"/>
      <name val="Arial"/>
      <family val="2"/>
    </font>
    <font>
      <b/>
      <sz val="11"/>
      <color theme="1"/>
      <name val="Calibri"/>
      <family val="2"/>
      <scheme val="minor"/>
    </font>
    <font>
      <b/>
      <sz val="10"/>
      <color rgb="FFFF0000"/>
      <name val="Arial"/>
      <family val="2"/>
    </font>
    <font>
      <sz val="9"/>
      <color indexed="81"/>
      <name val="Tahoma"/>
      <family val="2"/>
    </font>
    <font>
      <b/>
      <sz val="9"/>
      <color indexed="81"/>
      <name val="Tahoma"/>
      <family val="2"/>
    </font>
    <font>
      <b/>
      <sz val="14"/>
      <color theme="1"/>
      <name val="Calibri"/>
      <family val="2"/>
      <scheme val="minor"/>
    </font>
    <font>
      <sz val="16"/>
      <name val="Arial"/>
      <family val="2"/>
    </font>
  </fonts>
  <fills count="14">
    <fill>
      <patternFill patternType="none"/>
    </fill>
    <fill>
      <patternFill patternType="gray125"/>
    </fill>
    <fill>
      <patternFill patternType="solid">
        <fgColor indexed="65"/>
        <bgColor indexed="64"/>
      </patternFill>
    </fill>
    <fill>
      <patternFill patternType="gray0625"/>
    </fill>
    <fill>
      <patternFill patternType="solid">
        <fgColor indexed="9"/>
        <bgColor indexed="64"/>
      </patternFill>
    </fill>
    <fill>
      <patternFill patternType="solid">
        <fgColor indexed="22"/>
        <bgColor indexed="64"/>
      </patternFill>
    </fill>
    <fill>
      <patternFill patternType="solid">
        <fgColor indexed="22"/>
        <bgColor indexed="9"/>
      </patternFill>
    </fill>
    <fill>
      <patternFill patternType="solid">
        <fgColor indexed="22"/>
        <bgColor indexed="22"/>
      </patternFill>
    </fill>
    <fill>
      <patternFill patternType="solid">
        <fgColor indexed="8"/>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FF0000"/>
        <bgColor indexed="64"/>
      </patternFill>
    </fill>
  </fills>
  <borders count="171">
    <border>
      <left/>
      <right/>
      <top/>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thin">
        <color indexed="8"/>
      </right>
      <top style="medium">
        <color indexed="64"/>
      </top>
      <bottom/>
      <diagonal/>
    </border>
    <border>
      <left/>
      <right style="medium">
        <color indexed="8"/>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8"/>
      </right>
      <top style="thin">
        <color indexed="64"/>
      </top>
      <bottom style="thin">
        <color indexed="64"/>
      </bottom>
      <diagonal/>
    </border>
    <border>
      <left/>
      <right style="thin">
        <color indexed="64"/>
      </right>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right style="thick">
        <color indexed="64"/>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8"/>
      </right>
      <top style="thin">
        <color indexed="64"/>
      </top>
      <bottom/>
      <diagonal/>
    </border>
    <border>
      <left style="thin">
        <color indexed="64"/>
      </left>
      <right/>
      <top style="thin">
        <color indexed="64"/>
      </top>
      <bottom/>
      <diagonal/>
    </border>
    <border>
      <left/>
      <right style="medium">
        <color indexed="8"/>
      </right>
      <top style="thin">
        <color indexed="64"/>
      </top>
      <bottom/>
      <diagonal/>
    </border>
    <border>
      <left/>
      <right style="thin">
        <color indexed="8"/>
      </right>
      <top style="thin">
        <color indexed="64"/>
      </top>
      <bottom style="thin">
        <color indexed="64"/>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ck">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ck">
        <color indexed="64"/>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bottom style="thin">
        <color indexed="64"/>
      </bottom>
      <diagonal/>
    </border>
    <border>
      <left style="thick">
        <color indexed="64"/>
      </left>
      <right style="thin">
        <color indexed="64"/>
      </right>
      <top/>
      <bottom style="thick">
        <color indexed="64"/>
      </bottom>
      <diagonal/>
    </border>
    <border>
      <left/>
      <right style="thin">
        <color indexed="64"/>
      </right>
      <top/>
      <bottom style="thick">
        <color indexed="64"/>
      </bottom>
      <diagonal/>
    </border>
    <border>
      <left style="thin">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medium">
        <color indexed="64"/>
      </right>
      <top/>
      <bottom/>
      <diagonal/>
    </border>
    <border>
      <left style="thin">
        <color indexed="64"/>
      </left>
      <right style="medium">
        <color indexed="64"/>
      </right>
      <top/>
      <bottom/>
      <diagonal/>
    </border>
    <border>
      <left/>
      <right style="thick">
        <color indexed="64"/>
      </right>
      <top/>
      <bottom/>
      <diagonal/>
    </border>
    <border>
      <left style="thick">
        <color indexed="64"/>
      </left>
      <right style="medium">
        <color indexed="64"/>
      </right>
      <top style="thin">
        <color indexed="64"/>
      </top>
      <bottom style="thin">
        <color indexed="64"/>
      </bottom>
      <diagonal/>
    </border>
    <border>
      <left style="thick">
        <color indexed="64"/>
      </left>
      <right style="medium">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medium">
        <color indexed="64"/>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right style="medium">
        <color indexed="64"/>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style="thick">
        <color indexed="64"/>
      </left>
      <right style="medium">
        <color indexed="64"/>
      </right>
      <top style="thick">
        <color indexed="64"/>
      </top>
      <bottom style="thick">
        <color indexed="64"/>
      </bottom>
      <diagonal/>
    </border>
    <border>
      <left/>
      <right style="thin">
        <color indexed="64"/>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medium">
        <color indexed="64"/>
      </right>
      <top style="thin">
        <color indexed="64"/>
      </top>
      <bottom/>
      <diagonal/>
    </border>
    <border>
      <left/>
      <right style="medium">
        <color indexed="64"/>
      </right>
      <top style="thin">
        <color indexed="64"/>
      </top>
      <bottom style="thick">
        <color indexed="64"/>
      </bottom>
      <diagonal/>
    </border>
    <border>
      <left/>
      <right style="thick">
        <color indexed="64"/>
      </right>
      <top style="thin">
        <color indexed="64"/>
      </top>
      <bottom style="thick">
        <color indexed="64"/>
      </bottom>
      <diagonal/>
    </border>
    <border>
      <left/>
      <right/>
      <top/>
      <bottom style="thick">
        <color indexed="64"/>
      </bottom>
      <diagonal/>
    </border>
    <border>
      <left style="thin">
        <color indexed="64"/>
      </left>
      <right style="medium">
        <color indexed="64"/>
      </right>
      <top style="thick">
        <color indexed="64"/>
      </top>
      <bottom style="thick">
        <color indexed="64"/>
      </bottom>
      <diagonal/>
    </border>
    <border>
      <left/>
      <right style="thick">
        <color indexed="64"/>
      </right>
      <top style="medium">
        <color indexed="64"/>
      </top>
      <bottom style="thin">
        <color indexed="64"/>
      </bottom>
      <diagonal/>
    </border>
    <border>
      <left/>
      <right/>
      <top style="thick">
        <color indexed="64"/>
      </top>
      <bottom/>
      <diagonal/>
    </border>
    <border>
      <left style="medium">
        <color indexed="64"/>
      </left>
      <right style="thin">
        <color indexed="64"/>
      </right>
      <top/>
      <bottom/>
      <diagonal/>
    </border>
    <border>
      <left style="medium">
        <color indexed="64"/>
      </left>
      <right style="thin">
        <color indexed="64"/>
      </right>
      <top/>
      <bottom style="thick">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ck">
        <color indexed="64"/>
      </bottom>
      <diagonal/>
    </border>
    <border>
      <left style="thick">
        <color indexed="64"/>
      </left>
      <right style="thick">
        <color indexed="64"/>
      </right>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medium">
        <color indexed="64"/>
      </bottom>
      <diagonal/>
    </border>
    <border>
      <left/>
      <right style="medium">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style="thin">
        <color indexed="64"/>
      </right>
      <top/>
      <bottom/>
      <diagonal/>
    </border>
    <border>
      <left style="thick">
        <color indexed="64"/>
      </left>
      <right/>
      <top style="thick">
        <color indexed="64"/>
      </top>
      <bottom style="thin">
        <color indexed="64"/>
      </bottom>
      <diagonal/>
    </border>
    <border>
      <left style="thick">
        <color indexed="64"/>
      </left>
      <right/>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style="thick">
        <color indexed="64"/>
      </bottom>
      <diagonal/>
    </border>
    <border>
      <left style="medium">
        <color indexed="64"/>
      </left>
      <right style="thin">
        <color indexed="64"/>
      </right>
      <top style="thick">
        <color indexed="64"/>
      </top>
      <bottom style="thin">
        <color indexed="64"/>
      </bottom>
      <diagonal/>
    </border>
    <border>
      <left style="thin">
        <color indexed="64"/>
      </left>
      <right/>
      <top style="thin">
        <color indexed="64"/>
      </top>
      <bottom style="thick">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style="thick">
        <color indexed="64"/>
      </left>
      <right style="thin">
        <color indexed="64"/>
      </right>
      <top style="thin">
        <color indexed="64"/>
      </top>
      <bottom style="medium">
        <color indexed="64"/>
      </bottom>
      <diagonal/>
    </border>
    <border>
      <left/>
      <right/>
      <top style="thick">
        <color indexed="64"/>
      </top>
      <bottom style="thin">
        <color indexed="64"/>
      </bottom>
      <diagonal/>
    </border>
    <border>
      <left/>
      <right/>
      <top style="thin">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8"/>
      </right>
      <top style="medium">
        <color indexed="64"/>
      </top>
      <bottom style="thin">
        <color indexed="64"/>
      </bottom>
      <diagonal/>
    </border>
    <border>
      <left style="thin">
        <color indexed="64"/>
      </left>
      <right/>
      <top style="medium">
        <color indexed="64"/>
      </top>
      <bottom style="thin">
        <color indexed="64"/>
      </bottom>
      <diagonal/>
    </border>
    <border>
      <left style="medium">
        <color indexed="8"/>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ck">
        <color indexed="64"/>
      </right>
      <top style="thin">
        <color indexed="64"/>
      </top>
      <bottom style="thin">
        <color indexed="64"/>
      </bottom>
      <diagonal/>
    </border>
    <border>
      <left style="thin">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style="medium">
        <color indexed="64"/>
      </right>
      <top style="thick">
        <color indexed="64"/>
      </top>
      <bottom/>
      <diagonal/>
    </border>
    <border>
      <left style="thin">
        <color indexed="64"/>
      </left>
      <right style="medium">
        <color indexed="64"/>
      </right>
      <top style="medium">
        <color indexed="64"/>
      </top>
      <bottom style="thick">
        <color indexed="64"/>
      </bottom>
      <diagonal/>
    </border>
    <border>
      <left style="medium">
        <color indexed="64"/>
      </left>
      <right/>
      <top style="thick">
        <color indexed="64"/>
      </top>
      <bottom style="thin">
        <color indexed="64"/>
      </bottom>
      <diagonal/>
    </border>
    <border>
      <left/>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thin">
        <color indexed="8"/>
      </left>
      <right/>
      <top style="thin">
        <color indexed="64"/>
      </top>
      <bottom style="thin">
        <color indexed="64"/>
      </bottom>
      <diagonal/>
    </border>
    <border>
      <left style="medium">
        <color indexed="8"/>
      </left>
      <right/>
      <top style="thin">
        <color indexed="64"/>
      </top>
      <bottom style="thin">
        <color indexed="64"/>
      </bottom>
      <diagonal/>
    </border>
    <border>
      <left/>
      <right style="medium">
        <color indexed="8"/>
      </right>
      <top/>
      <bottom style="thin">
        <color indexed="64"/>
      </bottom>
      <diagonal/>
    </border>
    <border>
      <left style="thick">
        <color indexed="64"/>
      </left>
      <right style="medium">
        <color indexed="64"/>
      </right>
      <top/>
      <bottom style="thin">
        <color indexed="8"/>
      </bottom>
      <diagonal/>
    </border>
    <border>
      <left style="thick">
        <color indexed="64"/>
      </left>
      <right/>
      <top style="thick">
        <color indexed="64"/>
      </top>
      <bottom style="thick">
        <color indexed="64"/>
      </bottom>
      <diagonal/>
    </border>
    <border>
      <left style="medium">
        <color indexed="64"/>
      </left>
      <right/>
      <top/>
      <bottom style="thin">
        <color indexed="8"/>
      </bottom>
      <diagonal/>
    </border>
    <border>
      <left style="medium">
        <color indexed="64"/>
      </left>
      <right/>
      <top/>
      <bottom style="medium">
        <color indexed="64"/>
      </bottom>
      <diagonal/>
    </border>
    <border>
      <left style="medium">
        <color indexed="64"/>
      </left>
      <right style="medium">
        <color indexed="64"/>
      </right>
      <top/>
      <bottom style="thin">
        <color indexed="8"/>
      </bottom>
      <diagonal/>
    </border>
    <border>
      <left style="medium">
        <color indexed="64"/>
      </left>
      <right style="thin">
        <color indexed="64"/>
      </right>
      <top/>
      <bottom style="thin">
        <color indexed="8"/>
      </bottom>
      <diagonal/>
    </border>
    <border>
      <left/>
      <right style="thin">
        <color indexed="64"/>
      </right>
      <top/>
      <bottom style="thin">
        <color indexed="8"/>
      </bottom>
      <diagonal/>
    </border>
    <border>
      <left style="thin">
        <color indexed="64"/>
      </left>
      <right style="thin">
        <color indexed="64"/>
      </right>
      <top/>
      <bottom style="thin">
        <color indexed="8"/>
      </bottom>
      <diagonal/>
    </border>
    <border>
      <left/>
      <right style="thin">
        <color indexed="8"/>
      </right>
      <top/>
      <bottom style="thin">
        <color indexed="64"/>
      </bottom>
      <diagonal/>
    </border>
    <border>
      <left style="thin">
        <color indexed="8"/>
      </left>
      <right/>
      <top/>
      <bottom style="thin">
        <color indexed="64"/>
      </bottom>
      <diagonal/>
    </border>
    <border>
      <left/>
      <right style="thin">
        <color indexed="64"/>
      </right>
      <top style="medium">
        <color indexed="64"/>
      </top>
      <bottom/>
      <diagonal/>
    </border>
    <border>
      <left style="medium">
        <color indexed="8"/>
      </left>
      <right style="medium">
        <color indexed="8"/>
      </right>
      <top style="medium">
        <color indexed="64"/>
      </top>
      <bottom style="thin">
        <color indexed="8"/>
      </bottom>
      <diagonal/>
    </border>
    <border>
      <left style="thin">
        <color indexed="64"/>
      </left>
      <right style="thick">
        <color indexed="64"/>
      </right>
      <top style="thin">
        <color indexed="64"/>
      </top>
      <bottom/>
      <diagonal/>
    </border>
    <border>
      <left style="thin">
        <color indexed="64"/>
      </left>
      <right style="thick">
        <color indexed="64"/>
      </right>
      <top/>
      <bottom/>
      <diagonal/>
    </border>
    <border>
      <left style="thick">
        <color indexed="64"/>
      </left>
      <right style="medium">
        <color indexed="64"/>
      </right>
      <top style="thick">
        <color indexed="64"/>
      </top>
      <bottom/>
      <diagonal/>
    </border>
    <border>
      <left/>
      <right style="medium">
        <color indexed="8"/>
      </right>
      <top style="thick">
        <color indexed="64"/>
      </top>
      <bottom style="thin">
        <color indexed="64"/>
      </bottom>
      <diagonal/>
    </border>
    <border>
      <left style="thin">
        <color indexed="64"/>
      </left>
      <right/>
      <top style="thick">
        <color indexed="64"/>
      </top>
      <bottom style="thin">
        <color indexed="64"/>
      </bottom>
      <diagonal/>
    </border>
    <border>
      <left style="medium">
        <color indexed="8"/>
      </left>
      <right/>
      <top style="thick">
        <color indexed="64"/>
      </top>
      <bottom style="thin">
        <color indexed="64"/>
      </bottom>
      <diagonal/>
    </border>
    <border>
      <left style="thick">
        <color indexed="64"/>
      </left>
      <right style="thick">
        <color indexed="64"/>
      </right>
      <top style="thick">
        <color indexed="64"/>
      </top>
      <bottom style="thin">
        <color indexed="64"/>
      </bottom>
      <diagonal/>
    </border>
    <border>
      <left style="thin">
        <color indexed="64"/>
      </left>
      <right style="thick">
        <color indexed="64"/>
      </right>
      <top/>
      <bottom style="thick">
        <color indexed="64"/>
      </bottom>
      <diagonal/>
    </border>
    <border>
      <left style="thick">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64"/>
      </left>
      <right/>
      <top/>
      <bottom style="thin">
        <color indexed="64"/>
      </bottom>
      <diagonal/>
    </border>
    <border>
      <left style="thin">
        <color indexed="64"/>
      </left>
      <right/>
      <top style="thin">
        <color indexed="64"/>
      </top>
      <bottom style="thin">
        <color indexed="64"/>
      </bottom>
      <diagonal/>
    </border>
  </borders>
  <cellStyleXfs count="34">
    <xf numFmtId="0" fontId="0" fillId="0" borderId="0"/>
    <xf numFmtId="43" fontId="2" fillId="0" borderId="0" applyFont="0" applyFill="0" applyBorder="0" applyAlignment="0" applyProtection="0"/>
    <xf numFmtId="44" fontId="2" fillId="0" borderId="0" applyFont="0" applyFill="0" applyBorder="0" applyAlignment="0" applyProtection="0"/>
    <xf numFmtId="0" fontId="5" fillId="0" borderId="0" applyNumberFormat="0" applyFill="0" applyBorder="0" applyAlignment="0" applyProtection="0">
      <alignment vertical="top"/>
      <protection locked="0"/>
    </xf>
    <xf numFmtId="171" fontId="1" fillId="0" borderId="0" applyFont="0" applyFill="0" applyBorder="0" applyAlignment="0" applyProtection="0"/>
    <xf numFmtId="173" fontId="1" fillId="0" borderId="0" applyFont="0" applyFill="0" applyBorder="0" applyAlignment="0" applyProtection="0"/>
    <xf numFmtId="170" fontId="1" fillId="0" borderId="0" applyFont="0" applyFill="0" applyBorder="0" applyAlignment="0" applyProtection="0"/>
    <xf numFmtId="172" fontId="1" fillId="0" borderId="0" applyFont="0" applyFill="0" applyBorder="0" applyAlignment="0" applyProtection="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9" fontId="2" fillId="0" borderId="0" applyFont="0" applyFill="0" applyBorder="0" applyAlignment="0" applyProtection="0"/>
    <xf numFmtId="9" fontId="2"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4" fontId="1" fillId="0" borderId="0" applyFont="0" applyFill="0" applyBorder="0" applyAlignment="0" applyProtection="0"/>
  </cellStyleXfs>
  <cellXfs count="1840">
    <xf numFmtId="0" fontId="0" fillId="0" borderId="0" xfId="0"/>
    <xf numFmtId="0" fontId="6" fillId="0" borderId="0" xfId="0" applyFont="1"/>
    <xf numFmtId="0" fontId="10" fillId="0" borderId="0" xfId="0" applyFont="1"/>
    <xf numFmtId="0" fontId="10" fillId="0" borderId="0" xfId="0" applyFont="1" applyAlignment="1">
      <alignment horizontal="center"/>
    </xf>
    <xf numFmtId="0" fontId="6" fillId="0" borderId="0" xfId="0" applyFont="1" applyAlignment="1">
      <alignment horizontal="center"/>
    </xf>
    <xf numFmtId="0" fontId="9" fillId="0" borderId="0" xfId="0" applyFont="1" applyAlignment="1">
      <alignment horizontal="centerContinuous"/>
    </xf>
    <xf numFmtId="0" fontId="6" fillId="0" borderId="0" xfId="0" applyFont="1" applyAlignment="1">
      <alignment horizontal="centerContinuous"/>
    </xf>
    <xf numFmtId="0" fontId="11" fillId="0" borderId="0" xfId="0" applyFont="1"/>
    <xf numFmtId="0" fontId="0" fillId="0" borderId="0" xfId="0" applyFont="1"/>
    <xf numFmtId="0" fontId="11" fillId="0" borderId="0" xfId="0" applyFont="1" applyAlignment="1">
      <alignment horizontal="center"/>
    </xf>
    <xf numFmtId="0" fontId="12" fillId="0" borderId="0" xfId="0" applyFont="1" applyAlignment="1">
      <alignment horizontal="center"/>
    </xf>
    <xf numFmtId="44" fontId="11" fillId="0" borderId="0" xfId="2" applyFont="1" applyAlignment="1">
      <alignment horizontal="center"/>
    </xf>
    <xf numFmtId="0" fontId="13" fillId="0" borderId="0" xfId="0" applyFont="1" applyAlignment="1">
      <alignment horizontal="center"/>
    </xf>
    <xf numFmtId="0" fontId="14" fillId="0" borderId="0" xfId="0" applyFont="1"/>
    <xf numFmtId="0" fontId="14" fillId="0" borderId="0" xfId="0" applyFont="1" applyAlignment="1">
      <alignment horizontal="centerContinuous" vertical="center"/>
    </xf>
    <xf numFmtId="0" fontId="6" fillId="0" borderId="0" xfId="0" applyFont="1" applyAlignment="1">
      <alignment horizontal="centerContinuous" vertical="center"/>
    </xf>
    <xf numFmtId="0" fontId="11" fillId="0" borderId="1" xfId="0" applyFont="1" applyBorder="1" applyAlignment="1">
      <alignment horizontal="centerContinuous" vertical="center" wrapText="1"/>
    </xf>
    <xf numFmtId="0" fontId="11" fillId="0" borderId="2" xfId="0" applyFont="1" applyBorder="1" applyAlignment="1">
      <alignment horizontal="center" vertical="center" wrapText="1"/>
    </xf>
    <xf numFmtId="0" fontId="11" fillId="0" borderId="2" xfId="0" applyFont="1" applyBorder="1" applyAlignment="1">
      <alignment horizontal="centerContinuous" vertical="center" wrapText="1"/>
    </xf>
    <xf numFmtId="0" fontId="11" fillId="0" borderId="3" xfId="0" applyFont="1" applyBorder="1" applyAlignment="1">
      <alignment horizontal="centerContinuous" vertical="center" wrapText="1"/>
    </xf>
    <xf numFmtId="0" fontId="6" fillId="0" borderId="4" xfId="0" applyFont="1" applyBorder="1" applyAlignment="1">
      <alignment horizontal="center"/>
    </xf>
    <xf numFmtId="0" fontId="6" fillId="0" borderId="5" xfId="0" applyFont="1" applyBorder="1" applyAlignment="1">
      <alignment horizontal="right"/>
    </xf>
    <xf numFmtId="0" fontId="6" fillId="0" borderId="6" xfId="0" applyFont="1" applyBorder="1" applyAlignment="1">
      <alignment horizontal="center"/>
    </xf>
    <xf numFmtId="164" fontId="6" fillId="0" borderId="7" xfId="0" applyNumberFormat="1" applyFont="1" applyBorder="1" applyAlignment="1">
      <alignment horizontal="right"/>
    </xf>
    <xf numFmtId="0" fontId="6" fillId="0" borderId="0" xfId="24" applyFont="1"/>
    <xf numFmtId="164" fontId="6" fillId="0" borderId="0" xfId="24" applyNumberFormat="1" applyFont="1"/>
    <xf numFmtId="0" fontId="8" fillId="0" borderId="0" xfId="24" applyFont="1"/>
    <xf numFmtId="0" fontId="8" fillId="0" borderId="0" xfId="24" applyFont="1" applyAlignment="1">
      <alignment horizontal="centerContinuous" vertical="center" wrapText="1"/>
    </xf>
    <xf numFmtId="164" fontId="8" fillId="0" borderId="0" xfId="24" applyNumberFormat="1" applyFont="1" applyAlignment="1">
      <alignment horizontal="centerContinuous" vertical="center" wrapText="1"/>
    </xf>
    <xf numFmtId="0" fontId="11" fillId="0" borderId="8" xfId="24" applyFont="1" applyBorder="1" applyAlignment="1">
      <alignment horizontal="center"/>
    </xf>
    <xf numFmtId="0" fontId="11" fillId="0" borderId="9" xfId="24" applyFont="1" applyBorder="1" applyAlignment="1">
      <alignment horizontal="centerContinuous" vertical="center"/>
    </xf>
    <xf numFmtId="0" fontId="11" fillId="0" borderId="10" xfId="24" applyNumberFormat="1" applyFont="1" applyBorder="1" applyAlignment="1">
      <alignment horizontal="centerContinuous" vertical="center"/>
    </xf>
    <xf numFmtId="0" fontId="11" fillId="0" borderId="11" xfId="24" applyNumberFormat="1" applyFont="1" applyBorder="1" applyAlignment="1">
      <alignment horizontal="centerContinuous" vertical="center"/>
    </xf>
    <xf numFmtId="0" fontId="11" fillId="0" borderId="12" xfId="24" applyFont="1" applyBorder="1" applyAlignment="1">
      <alignment horizontal="centerContinuous" vertical="center"/>
    </xf>
    <xf numFmtId="0" fontId="6" fillId="0" borderId="0" xfId="24" applyFont="1" applyBorder="1"/>
    <xf numFmtId="0" fontId="11" fillId="0" borderId="13" xfId="24" applyFont="1" applyBorder="1" applyAlignment="1">
      <alignment horizontal="center" vertical="center"/>
    </xf>
    <xf numFmtId="0" fontId="11" fillId="0" borderId="14" xfId="24" applyFont="1" applyBorder="1" applyAlignment="1">
      <alignment horizontal="center" vertical="center"/>
    </xf>
    <xf numFmtId="164" fontId="11" fillId="0" borderId="15" xfId="24" applyNumberFormat="1" applyFont="1" applyBorder="1" applyAlignment="1">
      <alignment horizontal="center" vertical="center" wrapText="1"/>
    </xf>
    <xf numFmtId="164" fontId="11" fillId="0" borderId="16" xfId="24" applyNumberFormat="1" applyFont="1" applyBorder="1" applyAlignment="1">
      <alignment horizontal="center" vertical="center" wrapText="1"/>
    </xf>
    <xf numFmtId="0" fontId="11" fillId="0" borderId="17" xfId="24" applyFont="1" applyBorder="1" applyAlignment="1">
      <alignment horizontal="center" vertical="top"/>
    </xf>
    <xf numFmtId="0" fontId="6" fillId="0" borderId="1" xfId="24" applyFont="1" applyBorder="1" applyAlignment="1">
      <alignment horizontal="center"/>
    </xf>
    <xf numFmtId="0" fontId="6" fillId="2" borderId="2" xfId="24" applyFont="1" applyFill="1" applyBorder="1" applyAlignment="1">
      <alignment horizontal="right"/>
    </xf>
    <xf numFmtId="164" fontId="6" fillId="0" borderId="2" xfId="24" applyNumberFormat="1" applyFont="1" applyBorder="1" applyAlignment="1">
      <alignment horizontal="right"/>
    </xf>
    <xf numFmtId="164" fontId="6" fillId="0" borderId="18" xfId="24" applyNumberFormat="1" applyFont="1" applyBorder="1" applyAlignment="1">
      <alignment horizontal="right"/>
    </xf>
    <xf numFmtId="0" fontId="6" fillId="0" borderId="18" xfId="24" applyFont="1" applyBorder="1" applyAlignment="1">
      <alignment horizontal="right"/>
    </xf>
    <xf numFmtId="43" fontId="6" fillId="0" borderId="0" xfId="1" applyFont="1"/>
    <xf numFmtId="0" fontId="6" fillId="0" borderId="18" xfId="1" applyNumberFormat="1" applyFont="1" applyBorder="1" applyAlignment="1">
      <alignment horizontal="right"/>
    </xf>
    <xf numFmtId="0" fontId="11" fillId="0" borderId="19" xfId="24" applyFont="1" applyBorder="1" applyAlignment="1">
      <alignment horizontal="center"/>
    </xf>
    <xf numFmtId="0" fontId="11" fillId="0" borderId="20" xfId="24" applyFont="1" applyBorder="1" applyAlignment="1">
      <alignment horizontal="center" vertical="center"/>
    </xf>
    <xf numFmtId="164" fontId="11" fillId="0" borderId="21" xfId="24" applyNumberFormat="1" applyFont="1" applyBorder="1" applyAlignment="1">
      <alignment horizontal="center" vertical="center" wrapText="1"/>
    </xf>
    <xf numFmtId="0" fontId="6" fillId="0" borderId="6" xfId="24" applyFont="1" applyBorder="1" applyAlignment="1">
      <alignment horizontal="center"/>
    </xf>
    <xf numFmtId="0" fontId="6" fillId="2" borderId="5" xfId="24" applyFont="1" applyFill="1" applyBorder="1" applyAlignment="1">
      <alignment horizontal="right"/>
    </xf>
    <xf numFmtId="164" fontId="6" fillId="0" borderId="5" xfId="24" applyNumberFormat="1" applyFont="1" applyBorder="1" applyAlignment="1">
      <alignment horizontal="right"/>
    </xf>
    <xf numFmtId="164" fontId="6" fillId="0" borderId="7" xfId="24" applyNumberFormat="1" applyFont="1" applyBorder="1" applyAlignment="1">
      <alignment horizontal="right"/>
    </xf>
    <xf numFmtId="0" fontId="6" fillId="0" borderId="7" xfId="24" applyFont="1" applyBorder="1" applyAlignment="1">
      <alignment horizontal="right"/>
    </xf>
    <xf numFmtId="0" fontId="6" fillId="0" borderId="22" xfId="24" applyFont="1" applyBorder="1" applyAlignment="1">
      <alignment horizontal="center"/>
    </xf>
    <xf numFmtId="0" fontId="6" fillId="0" borderId="23" xfId="24" applyFont="1" applyBorder="1" applyAlignment="1">
      <alignment horizontal="center"/>
    </xf>
    <xf numFmtId="0" fontId="6" fillId="2" borderId="24" xfId="24" applyFont="1" applyFill="1" applyBorder="1" applyAlignment="1">
      <alignment horizontal="right"/>
    </xf>
    <xf numFmtId="164" fontId="6" fillId="0" borderId="24" xfId="24" applyNumberFormat="1" applyFont="1" applyBorder="1" applyAlignment="1">
      <alignment horizontal="right"/>
    </xf>
    <xf numFmtId="164" fontId="6" fillId="0" borderId="25" xfId="24" applyNumberFormat="1" applyFont="1" applyBorder="1" applyAlignment="1">
      <alignment horizontal="right"/>
    </xf>
    <xf numFmtId="0" fontId="6" fillId="0" borderId="25" xfId="24" applyFont="1" applyBorder="1" applyAlignment="1">
      <alignment horizontal="right"/>
    </xf>
    <xf numFmtId="0" fontId="6" fillId="0" borderId="0" xfId="23" applyFont="1"/>
    <xf numFmtId="164" fontId="6" fillId="0" borderId="0" xfId="23" applyNumberFormat="1" applyFont="1"/>
    <xf numFmtId="0" fontId="14" fillId="0" borderId="0" xfId="23" applyFont="1"/>
    <xf numFmtId="0" fontId="14" fillId="0" borderId="0" xfId="23" applyFont="1" applyBorder="1"/>
    <xf numFmtId="164" fontId="14" fillId="0" borderId="0" xfId="23" applyNumberFormat="1" applyFont="1"/>
    <xf numFmtId="0" fontId="16" fillId="0" borderId="9" xfId="23" applyNumberFormat="1" applyFont="1" applyBorder="1" applyAlignment="1">
      <alignment horizontal="centerContinuous" vertical="center" wrapText="1"/>
    </xf>
    <xf numFmtId="0" fontId="16" fillId="0" borderId="26" xfId="23" applyFont="1" applyBorder="1" applyAlignment="1">
      <alignment horizontal="centerContinuous" vertical="center" wrapText="1"/>
    </xf>
    <xf numFmtId="0" fontId="16" fillId="0" borderId="26" xfId="23" applyFont="1" applyBorder="1" applyAlignment="1">
      <alignment horizontal="centerContinuous" vertical="center"/>
    </xf>
    <xf numFmtId="0" fontId="16" fillId="0" borderId="9" xfId="23" applyNumberFormat="1" applyFont="1" applyBorder="1" applyAlignment="1">
      <alignment horizontal="centerContinuous" vertical="center"/>
    </xf>
    <xf numFmtId="0" fontId="11" fillId="0" borderId="12" xfId="23" applyFont="1" applyBorder="1" applyAlignment="1">
      <alignment horizontal="center" vertical="center"/>
    </xf>
    <xf numFmtId="164" fontId="16" fillId="0" borderId="27" xfId="23" applyNumberFormat="1" applyFont="1" applyBorder="1" applyAlignment="1">
      <alignment horizontal="center" vertical="center" wrapText="1"/>
    </xf>
    <xf numFmtId="0" fontId="16" fillId="0" borderId="27" xfId="23" applyFont="1" applyBorder="1" applyAlignment="1">
      <alignment horizontal="center" vertical="center"/>
    </xf>
    <xf numFmtId="0" fontId="11" fillId="0" borderId="22" xfId="23" applyFont="1" applyBorder="1" applyAlignment="1">
      <alignment horizontal="center" vertical="top"/>
    </xf>
    <xf numFmtId="164" fontId="6" fillId="0" borderId="5" xfId="23" applyNumberFormat="1" applyFont="1" applyBorder="1" applyAlignment="1">
      <alignment horizontal="right"/>
    </xf>
    <xf numFmtId="0" fontId="6" fillId="0" borderId="5" xfId="23" applyFont="1" applyBorder="1" applyAlignment="1">
      <alignment horizontal="right"/>
    </xf>
    <xf numFmtId="0" fontId="6" fillId="0" borderId="3" xfId="23" applyFont="1" applyBorder="1" applyAlignment="1">
      <alignment horizontal="right"/>
    </xf>
    <xf numFmtId="164" fontId="6" fillId="0" borderId="2" xfId="23" applyNumberFormat="1" applyFont="1" applyBorder="1" applyAlignment="1">
      <alignment horizontal="right"/>
    </xf>
    <xf numFmtId="0" fontId="6" fillId="0" borderId="2" xfId="23" applyFont="1" applyBorder="1" applyAlignment="1">
      <alignment horizontal="right"/>
    </xf>
    <xf numFmtId="0" fontId="6" fillId="0" borderId="18" xfId="23" applyFont="1" applyBorder="1" applyAlignment="1">
      <alignment horizontal="right"/>
    </xf>
    <xf numFmtId="0" fontId="6" fillId="0" borderId="28" xfId="0" applyFont="1" applyBorder="1"/>
    <xf numFmtId="0" fontId="11" fillId="0" borderId="29" xfId="0" applyFont="1" applyBorder="1" applyAlignment="1">
      <alignment horizontal="centerContinuous" wrapText="1"/>
    </xf>
    <xf numFmtId="0" fontId="11" fillId="0" borderId="30" xfId="0" applyFont="1" applyBorder="1" applyAlignment="1">
      <alignment horizontal="centerContinuous"/>
    </xf>
    <xf numFmtId="0" fontId="11" fillId="0" borderId="31" xfId="0" applyFont="1" applyBorder="1" applyAlignment="1">
      <alignment horizontal="centerContinuous"/>
    </xf>
    <xf numFmtId="0" fontId="11" fillId="0" borderId="32" xfId="0" applyFont="1" applyBorder="1" applyAlignment="1">
      <alignment horizontal="centerContinuous"/>
    </xf>
    <xf numFmtId="0" fontId="11" fillId="0" borderId="6" xfId="0" applyFont="1" applyBorder="1" applyAlignment="1">
      <alignment horizontal="center"/>
    </xf>
    <xf numFmtId="0" fontId="11" fillId="0" borderId="7" xfId="0" applyFont="1" applyBorder="1" applyAlignment="1">
      <alignment horizontal="centerContinuous" wrapText="1"/>
    </xf>
    <xf numFmtId="0" fontId="11" fillId="0" borderId="5" xfId="0" applyFont="1" applyBorder="1" applyAlignment="1">
      <alignment horizontal="center"/>
    </xf>
    <xf numFmtId="0" fontId="11" fillId="0" borderId="7" xfId="0" applyFont="1" applyBorder="1" applyAlignment="1">
      <alignment horizontal="center"/>
    </xf>
    <xf numFmtId="0" fontId="11" fillId="0" borderId="1" xfId="0" applyFont="1" applyBorder="1"/>
    <xf numFmtId="0" fontId="11" fillId="0" borderId="4" xfId="0" applyFont="1" applyBorder="1" applyAlignment="1">
      <alignment horizontal="center"/>
    </xf>
    <xf numFmtId="0" fontId="6" fillId="3" borderId="19" xfId="0" applyFont="1" applyFill="1" applyBorder="1" applyAlignment="1">
      <alignment horizontal="center"/>
    </xf>
    <xf numFmtId="0" fontId="6" fillId="3" borderId="33" xfId="0" applyFont="1" applyFill="1" applyBorder="1" applyAlignment="1">
      <alignment horizontal="center"/>
    </xf>
    <xf numFmtId="0" fontId="6" fillId="3" borderId="22" xfId="0" applyFont="1" applyFill="1" applyBorder="1" applyAlignment="1">
      <alignment horizontal="center"/>
    </xf>
    <xf numFmtId="0" fontId="6" fillId="0" borderId="7" xfId="0" applyFont="1" applyBorder="1" applyAlignment="1">
      <alignment horizontal="center"/>
    </xf>
    <xf numFmtId="0" fontId="6" fillId="0" borderId="7" xfId="0" applyFont="1" applyBorder="1" applyAlignment="1">
      <alignment horizontal="right"/>
    </xf>
    <xf numFmtId="0" fontId="6" fillId="0" borderId="19" xfId="0" applyFont="1" applyBorder="1" applyAlignment="1">
      <alignment horizontal="center"/>
    </xf>
    <xf numFmtId="0" fontId="6" fillId="0" borderId="33" xfId="0" applyFont="1" applyBorder="1" applyAlignment="1">
      <alignment horizontal="right"/>
    </xf>
    <xf numFmtId="0" fontId="6" fillId="0" borderId="22" xfId="0" applyFont="1" applyBorder="1" applyAlignment="1">
      <alignment horizontal="right"/>
    </xf>
    <xf numFmtId="0" fontId="6" fillId="3" borderId="33" xfId="0" applyFont="1" applyFill="1" applyBorder="1" applyAlignment="1">
      <alignment horizontal="right"/>
    </xf>
    <xf numFmtId="0" fontId="6" fillId="3" borderId="22" xfId="0" applyFont="1" applyFill="1" applyBorder="1" applyAlignment="1">
      <alignment horizontal="right"/>
    </xf>
    <xf numFmtId="0" fontId="0" fillId="0" borderId="0" xfId="0" applyFont="1" applyAlignment="1">
      <alignment horizontal="center"/>
    </xf>
    <xf numFmtId="0" fontId="11" fillId="0" borderId="34" xfId="0" applyFont="1" applyBorder="1" applyAlignment="1">
      <alignment horizontal="centerContinuous" wrapText="1"/>
    </xf>
    <xf numFmtId="0" fontId="6" fillId="0" borderId="35" xfId="0" applyFont="1" applyBorder="1" applyAlignment="1">
      <alignment horizontal="right"/>
    </xf>
    <xf numFmtId="164" fontId="6" fillId="0" borderId="0" xfId="0" applyNumberFormat="1" applyFont="1"/>
    <xf numFmtId="164" fontId="6" fillId="0" borderId="0" xfId="0" applyNumberFormat="1" applyFont="1" applyAlignment="1">
      <alignment horizontal="centerContinuous" vertical="center"/>
    </xf>
    <xf numFmtId="164" fontId="11" fillId="0" borderId="18" xfId="0" applyNumberFormat="1" applyFont="1" applyBorder="1" applyAlignment="1">
      <alignment horizontal="center" vertical="center" wrapText="1"/>
    </xf>
    <xf numFmtId="0" fontId="6" fillId="1" borderId="36" xfId="0" applyFont="1" applyFill="1" applyBorder="1" applyAlignment="1">
      <alignment horizontal="center"/>
    </xf>
    <xf numFmtId="0" fontId="11" fillId="0" borderId="19" xfId="24" applyFont="1" applyBorder="1" applyAlignment="1">
      <alignment horizontal="center" vertical="center"/>
    </xf>
    <xf numFmtId="0" fontId="11" fillId="0" borderId="37" xfId="24" applyFont="1" applyBorder="1" applyAlignment="1">
      <alignment horizontal="center" vertical="center"/>
    </xf>
    <xf numFmtId="164" fontId="11" fillId="0" borderId="38" xfId="24" applyNumberFormat="1" applyFont="1" applyBorder="1" applyAlignment="1">
      <alignment horizontal="center" vertical="center" wrapText="1"/>
    </xf>
    <xf numFmtId="164" fontId="11" fillId="0" borderId="29" xfId="24" applyNumberFormat="1" applyFont="1" applyBorder="1" applyAlignment="1">
      <alignment horizontal="center" vertical="center" wrapText="1"/>
    </xf>
    <xf numFmtId="0" fontId="11" fillId="0" borderId="22" xfId="24" applyFont="1" applyBorder="1" applyAlignment="1">
      <alignment horizontal="center" vertical="top"/>
    </xf>
    <xf numFmtId="0" fontId="6" fillId="0" borderId="5" xfId="24" applyFont="1" applyBorder="1" applyAlignment="1">
      <alignment horizontal="right"/>
    </xf>
    <xf numFmtId="0" fontId="11" fillId="0" borderId="6" xfId="24" applyFont="1" applyBorder="1" applyAlignment="1">
      <alignment horizontal="center" vertical="center" wrapText="1"/>
    </xf>
    <xf numFmtId="0" fontId="11" fillId="0" borderId="5" xfId="24" applyFont="1" applyBorder="1" applyAlignment="1">
      <alignment horizontal="center" vertical="center"/>
    </xf>
    <xf numFmtId="164" fontId="11" fillId="0" borderId="5" xfId="24" applyNumberFormat="1" applyFont="1" applyBorder="1" applyAlignment="1">
      <alignment horizontal="center" vertical="center" wrapText="1"/>
    </xf>
    <xf numFmtId="164" fontId="11" fillId="0" borderId="7" xfId="24" applyNumberFormat="1" applyFont="1" applyBorder="1" applyAlignment="1">
      <alignment horizontal="center" vertical="center" wrapText="1"/>
    </xf>
    <xf numFmtId="0" fontId="11" fillId="0" borderId="7" xfId="24" applyFont="1" applyBorder="1" applyAlignment="1">
      <alignment horizontal="center" vertical="top"/>
    </xf>
    <xf numFmtId="0" fontId="11" fillId="0" borderId="6" xfId="24" applyFont="1" applyBorder="1" applyAlignment="1">
      <alignment horizontal="center" vertical="center"/>
    </xf>
    <xf numFmtId="164" fontId="11" fillId="0" borderId="5" xfId="24" applyNumberFormat="1" applyFont="1" applyBorder="1" applyAlignment="1">
      <alignment horizontal="center" vertical="top" wrapText="1"/>
    </xf>
    <xf numFmtId="164" fontId="11" fillId="0" borderId="7" xfId="24" applyNumberFormat="1" applyFont="1" applyBorder="1" applyAlignment="1">
      <alignment horizontal="center" vertical="top" wrapText="1"/>
    </xf>
    <xf numFmtId="0" fontId="6" fillId="0" borderId="2" xfId="24" applyFont="1" applyBorder="1" applyAlignment="1">
      <alignment horizontal="right"/>
    </xf>
    <xf numFmtId="0" fontId="6" fillId="0" borderId="1" xfId="24" applyFont="1" applyBorder="1" applyAlignment="1">
      <alignment horizontal="right"/>
    </xf>
    <xf numFmtId="0" fontId="6" fillId="0" borderId="24" xfId="24" applyFont="1" applyBorder="1" applyAlignment="1">
      <alignment horizontal="right"/>
    </xf>
    <xf numFmtId="0" fontId="11" fillId="0" borderId="39" xfId="23" applyFont="1" applyBorder="1" applyAlignment="1">
      <alignment horizontal="center"/>
    </xf>
    <xf numFmtId="0" fontId="16" fillId="0" borderId="39" xfId="23" applyFont="1" applyBorder="1" applyAlignment="1">
      <alignment horizontal="centerContinuous" vertical="center"/>
    </xf>
    <xf numFmtId="0" fontId="11" fillId="0" borderId="40" xfId="23" applyFont="1" applyBorder="1" applyAlignment="1">
      <alignment horizontal="center" vertical="top"/>
    </xf>
    <xf numFmtId="0" fontId="16" fillId="0" borderId="41" xfId="23" applyFont="1" applyBorder="1" applyAlignment="1">
      <alignment horizontal="center" vertical="center"/>
    </xf>
    <xf numFmtId="0" fontId="6" fillId="0" borderId="42" xfId="23" applyFont="1" applyBorder="1" applyAlignment="1">
      <alignment horizontal="centerContinuous"/>
    </xf>
    <xf numFmtId="0" fontId="6" fillId="0" borderId="35" xfId="23" applyFont="1" applyBorder="1" applyAlignment="1">
      <alignment horizontal="right"/>
    </xf>
    <xf numFmtId="164" fontId="6" fillId="0" borderId="7" xfId="23" applyNumberFormat="1" applyFont="1" applyBorder="1" applyAlignment="1">
      <alignment horizontal="right"/>
    </xf>
    <xf numFmtId="0" fontId="6" fillId="0" borderId="7" xfId="23" applyFont="1" applyBorder="1" applyAlignment="1">
      <alignment horizontal="right"/>
    </xf>
    <xf numFmtId="0" fontId="6" fillId="0" borderId="4" xfId="0" applyFont="1" applyBorder="1"/>
    <xf numFmtId="0" fontId="6" fillId="0" borderId="5" xfId="0" applyFont="1" applyBorder="1"/>
    <xf numFmtId="0" fontId="8" fillId="0" borderId="0" xfId="15" applyFont="1" applyAlignment="1">
      <alignment horizontal="centerContinuous" vertical="center"/>
    </xf>
    <xf numFmtId="0" fontId="11" fillId="0" borderId="7" xfId="15" applyFont="1" applyBorder="1" applyAlignment="1">
      <alignment horizontal="centerContinuous"/>
    </xf>
    <xf numFmtId="0" fontId="11" fillId="0" borderId="43" xfId="15" applyFont="1" applyBorder="1" applyAlignment="1">
      <alignment horizontal="centerContinuous"/>
    </xf>
    <xf numFmtId="0" fontId="19" fillId="4" borderId="4" xfId="15" applyFont="1" applyFill="1" applyBorder="1"/>
    <xf numFmtId="0" fontId="19" fillId="4" borderId="7" xfId="15" applyFont="1" applyFill="1" applyBorder="1"/>
    <xf numFmtId="0" fontId="19" fillId="4" borderId="5" xfId="15" applyFont="1" applyFill="1" applyBorder="1"/>
    <xf numFmtId="0" fontId="19" fillId="4" borderId="43" xfId="15" applyFont="1" applyFill="1" applyBorder="1"/>
    <xf numFmtId="0" fontId="19" fillId="4" borderId="6" xfId="15" applyFont="1" applyFill="1" applyBorder="1"/>
    <xf numFmtId="0" fontId="6" fillId="0" borderId="0" xfId="14" applyFont="1"/>
    <xf numFmtId="1" fontId="6" fillId="0" borderId="0" xfId="14" applyNumberFormat="1" applyFont="1"/>
    <xf numFmtId="0" fontId="21" fillId="0" borderId="0" xfId="14" applyFont="1" applyAlignment="1">
      <alignment horizontal="center" vertical="center"/>
    </xf>
    <xf numFmtId="0" fontId="6" fillId="0" borderId="0" xfId="14" applyFont="1" applyBorder="1"/>
    <xf numFmtId="0" fontId="21" fillId="0" borderId="0" xfId="14" applyFont="1" applyBorder="1" applyAlignment="1">
      <alignment horizontal="center" vertical="center"/>
    </xf>
    <xf numFmtId="0" fontId="11" fillId="0" borderId="5" xfId="14" applyFont="1" applyBorder="1" applyAlignment="1">
      <alignment horizontal="centerContinuous" vertical="center" wrapText="1"/>
    </xf>
    <xf numFmtId="0" fontId="11" fillId="0" borderId="7" xfId="14" applyFont="1" applyBorder="1" applyAlignment="1">
      <alignment horizontal="center" vertical="center" wrapText="1"/>
    </xf>
    <xf numFmtId="0" fontId="11" fillId="0" borderId="5" xfId="14" applyFont="1" applyBorder="1" applyAlignment="1">
      <alignment horizontal="center" vertical="center" wrapText="1"/>
    </xf>
    <xf numFmtId="1" fontId="6" fillId="5" borderId="5" xfId="14" applyNumberFormat="1" applyFont="1" applyFill="1" applyBorder="1"/>
    <xf numFmtId="9" fontId="6" fillId="5" borderId="5" xfId="14" applyNumberFormat="1" applyFont="1" applyFill="1" applyBorder="1"/>
    <xf numFmtId="9" fontId="6" fillId="5" borderId="7" xfId="14" applyNumberFormat="1" applyFont="1" applyFill="1" applyBorder="1"/>
    <xf numFmtId="165" fontId="6" fillId="0" borderId="5" xfId="14" applyNumberFormat="1" applyFont="1" applyBorder="1"/>
    <xf numFmtId="164" fontId="11" fillId="0" borderId="7" xfId="14" applyNumberFormat="1" applyFont="1" applyBorder="1" applyAlignment="1">
      <alignment horizontal="right"/>
    </xf>
    <xf numFmtId="0" fontId="6" fillId="0" borderId="0" xfId="14" applyFont="1" applyAlignment="1">
      <alignment horizontal="right"/>
    </xf>
    <xf numFmtId="0" fontId="6" fillId="0" borderId="0" xfId="17" applyFont="1"/>
    <xf numFmtId="0" fontId="6" fillId="0" borderId="0" xfId="17" applyFont="1" applyBorder="1"/>
    <xf numFmtId="0" fontId="6" fillId="0" borderId="28" xfId="17" applyFont="1" applyBorder="1" applyAlignment="1">
      <alignment horizontal="center" vertical="center" wrapText="1"/>
    </xf>
    <xf numFmtId="0" fontId="11" fillId="0" borderId="31" xfId="17" applyFont="1" applyBorder="1" applyAlignment="1">
      <alignment horizontal="centerContinuous"/>
    </xf>
    <xf numFmtId="0" fontId="11" fillId="0" borderId="32" xfId="17" applyFont="1" applyBorder="1" applyAlignment="1">
      <alignment horizontal="centerContinuous"/>
    </xf>
    <xf numFmtId="0" fontId="23" fillId="0" borderId="6" xfId="17" applyFont="1" applyBorder="1" applyAlignment="1">
      <alignment horizontal="center" vertical="center" wrapText="1"/>
    </xf>
    <xf numFmtId="0" fontId="11" fillId="0" borderId="5" xfId="17" quotePrefix="1" applyFont="1" applyBorder="1" applyAlignment="1">
      <alignment horizontal="right"/>
    </xf>
    <xf numFmtId="0" fontId="11" fillId="0" borderId="5" xfId="17" applyFont="1" applyBorder="1" applyAlignment="1">
      <alignment horizontal="right"/>
    </xf>
    <xf numFmtId="0" fontId="11" fillId="0" borderId="7" xfId="17" applyFont="1" applyBorder="1" applyAlignment="1">
      <alignment horizontal="right"/>
    </xf>
    <xf numFmtId="0" fontId="6" fillId="0" borderId="6" xfId="17" applyFont="1" applyBorder="1" applyAlignment="1">
      <alignment horizontal="center"/>
    </xf>
    <xf numFmtId="0" fontId="6" fillId="0" borderId="5" xfId="17" applyFont="1" applyBorder="1"/>
    <xf numFmtId="1" fontId="6" fillId="0" borderId="5" xfId="17" applyNumberFormat="1" applyFont="1" applyBorder="1"/>
    <xf numFmtId="1" fontId="6" fillId="0" borderId="7" xfId="17" applyNumberFormat="1" applyFont="1" applyBorder="1"/>
    <xf numFmtId="0" fontId="20" fillId="0" borderId="0" xfId="17" applyFont="1" applyBorder="1"/>
    <xf numFmtId="0" fontId="11" fillId="0" borderId="5" xfId="17" applyFont="1" applyBorder="1" applyAlignment="1">
      <alignment horizontal="center"/>
    </xf>
    <xf numFmtId="0" fontId="11" fillId="0" borderId="7" xfId="17" applyFont="1" applyBorder="1" applyAlignment="1">
      <alignment horizontal="center"/>
    </xf>
    <xf numFmtId="1" fontId="6" fillId="0" borderId="0" xfId="17" applyNumberFormat="1" applyFont="1"/>
    <xf numFmtId="0" fontId="6" fillId="0" borderId="0" xfId="16" applyFont="1"/>
    <xf numFmtId="0" fontId="6" fillId="0" borderId="28" xfId="16" applyFont="1" applyBorder="1"/>
    <xf numFmtId="0" fontId="11" fillId="0" borderId="30" xfId="16" applyFont="1" applyBorder="1" applyAlignment="1">
      <alignment horizontal="centerContinuous"/>
    </xf>
    <xf numFmtId="0" fontId="11" fillId="0" borderId="31" xfId="16" applyFont="1" applyBorder="1" applyAlignment="1">
      <alignment horizontal="centerContinuous"/>
    </xf>
    <xf numFmtId="0" fontId="11" fillId="0" borderId="32" xfId="16" applyFont="1" applyBorder="1" applyAlignment="1">
      <alignment horizontal="centerContinuous"/>
    </xf>
    <xf numFmtId="0" fontId="23" fillId="0" borderId="6" xfId="16" applyFont="1" applyBorder="1" applyAlignment="1">
      <alignment horizontal="center" vertical="center" wrapText="1"/>
    </xf>
    <xf numFmtId="0" fontId="11" fillId="0" borderId="5" xfId="16" applyFont="1" applyBorder="1" applyAlignment="1">
      <alignment horizontal="right"/>
    </xf>
    <xf numFmtId="0" fontId="11" fillId="0" borderId="7" xfId="16" applyFont="1" applyBorder="1" applyAlignment="1">
      <alignment horizontal="right"/>
    </xf>
    <xf numFmtId="0" fontId="6" fillId="0" borderId="6" xfId="16" applyFont="1" applyBorder="1" applyAlignment="1">
      <alignment horizontal="center"/>
    </xf>
    <xf numFmtId="0" fontId="6" fillId="0" borderId="5" xfId="16" applyFont="1" applyBorder="1"/>
    <xf numFmtId="0" fontId="6" fillId="0" borderId="7" xfId="16" applyFont="1" applyBorder="1"/>
    <xf numFmtId="165" fontId="6" fillId="0" borderId="5" xfId="16" applyNumberFormat="1" applyFont="1" applyBorder="1"/>
    <xf numFmtId="165" fontId="6" fillId="0" borderId="7" xfId="16" applyNumberFormat="1" applyFont="1" applyBorder="1"/>
    <xf numFmtId="0" fontId="6" fillId="0" borderId="4" xfId="16" applyFont="1" applyBorder="1"/>
    <xf numFmtId="165" fontId="6" fillId="0" borderId="4" xfId="16" applyNumberFormat="1" applyFont="1" applyBorder="1"/>
    <xf numFmtId="0" fontId="24" fillId="0" borderId="0" xfId="16" applyFont="1"/>
    <xf numFmtId="0" fontId="6" fillId="0" borderId="0" xfId="16" applyFont="1" applyBorder="1"/>
    <xf numFmtId="0" fontId="6" fillId="0" borderId="0" xfId="22" applyFont="1"/>
    <xf numFmtId="0" fontId="6" fillId="0" borderId="0" xfId="22" applyFont="1" applyBorder="1"/>
    <xf numFmtId="0" fontId="21" fillId="0" borderId="0" xfId="22" applyFont="1" applyBorder="1" applyAlignment="1">
      <alignment horizontal="centerContinuous" wrapText="1"/>
    </xf>
    <xf numFmtId="0" fontId="6" fillId="0" borderId="0" xfId="22" applyFont="1" applyBorder="1" applyAlignment="1">
      <alignment horizontal="centerContinuous" wrapText="1"/>
    </xf>
    <xf numFmtId="0" fontId="6" fillId="0" borderId="0" xfId="22" applyFont="1" applyAlignment="1">
      <alignment horizontal="centerContinuous" wrapText="1"/>
    </xf>
    <xf numFmtId="0" fontId="6" fillId="0" borderId="28" xfId="22" applyFont="1" applyBorder="1"/>
    <xf numFmtId="0" fontId="23" fillId="0" borderId="6" xfId="22" applyFont="1" applyBorder="1" applyAlignment="1">
      <alignment horizontal="centerContinuous" vertical="center" wrapText="1"/>
    </xf>
    <xf numFmtId="0" fontId="25" fillId="0" borderId="5" xfId="22" applyFont="1" applyBorder="1" applyAlignment="1">
      <alignment horizontal="center" vertical="center" wrapText="1"/>
    </xf>
    <xf numFmtId="0" fontId="25" fillId="0" borderId="7" xfId="22" applyFont="1" applyBorder="1" applyAlignment="1">
      <alignment horizontal="center" vertical="center" wrapText="1"/>
    </xf>
    <xf numFmtId="0" fontId="6" fillId="0" borderId="6" xfId="22" applyFont="1" applyBorder="1"/>
    <xf numFmtId="0" fontId="6" fillId="0" borderId="5" xfId="22" applyFont="1" applyBorder="1"/>
    <xf numFmtId="164" fontId="6" fillId="0" borderId="7" xfId="22" applyNumberFormat="1" applyFont="1" applyBorder="1"/>
    <xf numFmtId="0" fontId="11" fillId="0" borderId="6" xfId="22" applyFont="1" applyBorder="1" applyAlignment="1">
      <alignment horizontal="right"/>
    </xf>
    <xf numFmtId="0" fontId="13" fillId="0" borderId="6" xfId="22" applyFont="1" applyBorder="1" applyAlignment="1">
      <alignment horizontal="right"/>
    </xf>
    <xf numFmtId="0" fontId="11" fillId="0" borderId="6" xfId="22" quotePrefix="1" applyFont="1" applyBorder="1" applyAlignment="1">
      <alignment horizontal="right"/>
    </xf>
    <xf numFmtId="0" fontId="21" fillId="0" borderId="0" xfId="22" applyFont="1" applyAlignment="1">
      <alignment horizontal="center"/>
    </xf>
    <xf numFmtId="0" fontId="21" fillId="0" borderId="44" xfId="22" applyFont="1" applyBorder="1" applyAlignment="1">
      <alignment horizontal="center"/>
    </xf>
    <xf numFmtId="0" fontId="20" fillId="0" borderId="0" xfId="22" applyFont="1" applyBorder="1"/>
    <xf numFmtId="0" fontId="6" fillId="0" borderId="4" xfId="9" applyFont="1" applyBorder="1"/>
    <xf numFmtId="0" fontId="6" fillId="0" borderId="5" xfId="9" applyFont="1" applyBorder="1"/>
    <xf numFmtId="0" fontId="6" fillId="0" borderId="0" xfId="9" applyFont="1" applyBorder="1"/>
    <xf numFmtId="166" fontId="6" fillId="0" borderId="0" xfId="0" applyNumberFormat="1" applyFont="1"/>
    <xf numFmtId="166" fontId="0" fillId="0" borderId="0" xfId="0" applyNumberFormat="1" applyFont="1"/>
    <xf numFmtId="0" fontId="0" fillId="0" borderId="0" xfId="0" applyNumberFormat="1" applyFont="1"/>
    <xf numFmtId="0" fontId="6" fillId="0" borderId="3" xfId="9" applyFont="1" applyBorder="1"/>
    <xf numFmtId="0" fontId="6" fillId="0" borderId="2" xfId="9" applyFont="1" applyBorder="1"/>
    <xf numFmtId="0" fontId="11" fillId="0" borderId="7" xfId="9" applyFont="1" applyBorder="1" applyAlignment="1">
      <alignment horizontal="center"/>
    </xf>
    <xf numFmtId="0" fontId="11" fillId="0" borderId="5" xfId="9" applyFont="1" applyBorder="1" applyAlignment="1">
      <alignment horizontal="center"/>
    </xf>
    <xf numFmtId="0" fontId="6" fillId="4" borderId="5" xfId="9" applyFont="1" applyFill="1" applyBorder="1"/>
    <xf numFmtId="0" fontId="20" fillId="0" borderId="0" xfId="0" applyFont="1"/>
    <xf numFmtId="0" fontId="0" fillId="0" borderId="2" xfId="0" applyBorder="1" applyAlignment="1">
      <alignment horizontal="center" vertical="center" wrapText="1"/>
    </xf>
    <xf numFmtId="0" fontId="0" fillId="0" borderId="31" xfId="0" applyBorder="1" applyAlignment="1">
      <alignment horizontal="center" vertical="center" wrapText="1"/>
    </xf>
    <xf numFmtId="0" fontId="0" fillId="0" borderId="45" xfId="0" applyBorder="1" applyAlignment="1">
      <alignment horizontal="center" vertical="center" wrapText="1"/>
    </xf>
    <xf numFmtId="0" fontId="0" fillId="0" borderId="18" xfId="0" applyBorder="1" applyAlignment="1">
      <alignment horizontal="center" vertical="center" wrapText="1"/>
    </xf>
    <xf numFmtId="165" fontId="0" fillId="0" borderId="5" xfId="0" applyNumberFormat="1" applyBorder="1" applyAlignment="1">
      <alignment horizontal="center"/>
    </xf>
    <xf numFmtId="165" fontId="0" fillId="0" borderId="44" xfId="0" applyNumberFormat="1" applyBorder="1" applyAlignment="1">
      <alignment horizontal="center"/>
    </xf>
    <xf numFmtId="165" fontId="0" fillId="0" borderId="35" xfId="0" applyNumberFormat="1" applyBorder="1" applyAlignment="1">
      <alignment horizontal="center"/>
    </xf>
    <xf numFmtId="0" fontId="6" fillId="0" borderId="0" xfId="21" applyFont="1"/>
    <xf numFmtId="0" fontId="6" fillId="0" borderId="0" xfId="21" applyFont="1" applyBorder="1"/>
    <xf numFmtId="0" fontId="21" fillId="0" borderId="0" xfId="21" applyFont="1" applyBorder="1" applyAlignment="1">
      <alignment horizontal="centerContinuous" vertical="center"/>
    </xf>
    <xf numFmtId="0" fontId="6" fillId="0" borderId="28" xfId="21" applyFont="1" applyBorder="1"/>
    <xf numFmtId="0" fontId="11" fillId="0" borderId="31" xfId="21" applyFont="1" applyBorder="1" applyAlignment="1">
      <alignment horizontal="centerContinuous" vertical="center"/>
    </xf>
    <xf numFmtId="0" fontId="11" fillId="0" borderId="32" xfId="21" applyFont="1" applyBorder="1" applyAlignment="1">
      <alignment horizontal="centerContinuous" vertical="center"/>
    </xf>
    <xf numFmtId="0" fontId="6" fillId="0" borderId="1" xfId="21" applyFont="1" applyBorder="1" applyAlignment="1">
      <alignment horizontal="centerContinuous" vertical="center"/>
    </xf>
    <xf numFmtId="0" fontId="6" fillId="0" borderId="44" xfId="21" applyFont="1" applyBorder="1"/>
    <xf numFmtId="0" fontId="11" fillId="0" borderId="44" xfId="21" applyFont="1" applyBorder="1" applyAlignment="1">
      <alignment horizontal="centerContinuous" vertical="center"/>
    </xf>
    <xf numFmtId="0" fontId="11" fillId="0" borderId="6" xfId="21" applyFont="1" applyBorder="1" applyAlignment="1">
      <alignment horizontal="centerContinuous" vertical="center"/>
    </xf>
    <xf numFmtId="0" fontId="6" fillId="0" borderId="5" xfId="21" applyFont="1" applyBorder="1" applyAlignment="1">
      <alignment horizontal="centerContinuous" vertical="center" wrapText="1"/>
    </xf>
    <xf numFmtId="0" fontId="6" fillId="0" borderId="7" xfId="21" applyFont="1" applyBorder="1" applyAlignment="1">
      <alignment horizontal="centerContinuous" vertical="center" wrapText="1"/>
    </xf>
    <xf numFmtId="0" fontId="6" fillId="3" borderId="19" xfId="21" applyFont="1" applyFill="1" applyBorder="1" applyAlignment="1">
      <alignment horizontal="center"/>
    </xf>
    <xf numFmtId="0" fontId="6" fillId="3" borderId="33" xfId="21" applyFont="1" applyFill="1" applyBorder="1"/>
    <xf numFmtId="0" fontId="6" fillId="0" borderId="6" xfId="21" applyFont="1" applyBorder="1" applyAlignment="1">
      <alignment horizontal="center"/>
    </xf>
    <xf numFmtId="0" fontId="6" fillId="0" borderId="5" xfId="21" applyFont="1" applyBorder="1"/>
    <xf numFmtId="164" fontId="6" fillId="0" borderId="7" xfId="21" applyNumberFormat="1" applyFont="1" applyBorder="1"/>
    <xf numFmtId="0" fontId="6" fillId="0" borderId="19" xfId="21" applyFont="1" applyBorder="1" applyAlignment="1">
      <alignment horizontal="center"/>
    </xf>
    <xf numFmtId="0" fontId="6" fillId="0" borderId="33" xfId="21" applyFont="1" applyBorder="1"/>
    <xf numFmtId="0" fontId="0" fillId="0" borderId="0" xfId="21" applyFont="1"/>
    <xf numFmtId="0" fontId="6" fillId="0" borderId="0" xfId="10" applyFont="1"/>
    <xf numFmtId="0" fontId="6" fillId="0" borderId="0" xfId="10" applyFont="1" applyBorder="1"/>
    <xf numFmtId="0" fontId="11" fillId="0" borderId="2" xfId="10" applyFont="1" applyBorder="1" applyAlignment="1">
      <alignment horizontal="center"/>
    </xf>
    <xf numFmtId="0" fontId="6" fillId="0" borderId="4" xfId="10" applyFont="1" applyBorder="1"/>
    <xf numFmtId="0" fontId="6" fillId="0" borderId="5" xfId="10" applyFont="1" applyBorder="1"/>
    <xf numFmtId="0" fontId="6" fillId="0" borderId="4" xfId="10" quotePrefix="1" applyFont="1" applyBorder="1" applyAlignment="1">
      <alignment horizontal="left"/>
    </xf>
    <xf numFmtId="0" fontId="6" fillId="0" borderId="4" xfId="10" applyFont="1" applyBorder="1" applyAlignment="1">
      <alignment horizontal="left"/>
    </xf>
    <xf numFmtId="0" fontId="11" fillId="0" borderId="4" xfId="10" quotePrefix="1" applyFont="1" applyBorder="1" applyAlignment="1">
      <alignment horizontal="left"/>
    </xf>
    <xf numFmtId="0" fontId="11" fillId="0" borderId="5" xfId="10" applyFont="1" applyBorder="1"/>
    <xf numFmtId="0" fontId="11" fillId="0" borderId="4" xfId="10" applyFont="1" applyBorder="1"/>
    <xf numFmtId="0" fontId="6" fillId="0" borderId="0" xfId="11" applyFont="1"/>
    <xf numFmtId="0" fontId="6" fillId="0" borderId="0" xfId="11" applyFont="1" applyBorder="1"/>
    <xf numFmtId="0" fontId="11" fillId="0" borderId="2" xfId="11" applyFont="1" applyBorder="1" applyAlignment="1">
      <alignment horizontal="center"/>
    </xf>
    <xf numFmtId="0" fontId="11" fillId="0" borderId="4" xfId="11" applyFont="1" applyBorder="1"/>
    <xf numFmtId="0" fontId="11" fillId="0" borderId="5" xfId="11" applyFont="1" applyBorder="1"/>
    <xf numFmtId="0" fontId="6" fillId="0" borderId="4" xfId="11" applyFont="1" applyBorder="1"/>
    <xf numFmtId="0" fontId="6" fillId="0" borderId="5" xfId="11" applyFont="1" applyBorder="1"/>
    <xf numFmtId="0" fontId="6" fillId="0" borderId="4" xfId="11" applyFont="1" applyBorder="1" applyAlignment="1">
      <alignment horizontal="left"/>
    </xf>
    <xf numFmtId="0" fontId="6" fillId="0" borderId="0" xfId="12" applyFont="1"/>
    <xf numFmtId="0" fontId="6" fillId="0" borderId="0" xfId="12" applyFont="1" applyBorder="1"/>
    <xf numFmtId="0" fontId="11" fillId="0" borderId="2" xfId="12" applyFont="1" applyBorder="1" applyAlignment="1">
      <alignment horizontal="center"/>
    </xf>
    <xf numFmtId="0" fontId="6" fillId="0" borderId="4" xfId="12" applyFont="1" applyBorder="1" applyAlignment="1">
      <alignment horizontal="left"/>
    </xf>
    <xf numFmtId="0" fontId="6" fillId="0" borderId="4" xfId="12" applyFont="1" applyBorder="1"/>
    <xf numFmtId="0" fontId="6" fillId="0" borderId="5" xfId="12" applyFont="1" applyBorder="1"/>
    <xf numFmtId="0" fontId="11" fillId="0" borderId="4" xfId="12" applyFont="1" applyBorder="1"/>
    <xf numFmtId="0" fontId="6" fillId="0" borderId="0" xfId="18" applyFont="1"/>
    <xf numFmtId="0" fontId="21" fillId="0" borderId="0" xfId="18" applyFont="1"/>
    <xf numFmtId="0" fontId="28" fillId="0" borderId="0" xfId="18" applyFont="1" applyBorder="1" applyAlignment="1">
      <alignment horizontal="centerContinuous"/>
    </xf>
    <xf numFmtId="0" fontId="6" fillId="0" borderId="0" xfId="18" applyFont="1" applyBorder="1"/>
    <xf numFmtId="0" fontId="6" fillId="0" borderId="28" xfId="18" applyFont="1" applyBorder="1"/>
    <xf numFmtId="0" fontId="8" fillId="0" borderId="31" xfId="18" applyFont="1" applyBorder="1" applyAlignment="1">
      <alignment horizontal="centerContinuous" vertical="center"/>
    </xf>
    <xf numFmtId="0" fontId="8" fillId="0" borderId="32" xfId="18" applyFont="1" applyBorder="1" applyAlignment="1">
      <alignment horizontal="centerContinuous" vertical="center"/>
    </xf>
    <xf numFmtId="0" fontId="23" fillId="0" borderId="19" xfId="18" applyFont="1" applyBorder="1" applyAlignment="1">
      <alignment horizontal="centerContinuous" vertical="center"/>
    </xf>
    <xf numFmtId="0" fontId="11" fillId="0" borderId="37" xfId="18" applyFont="1" applyBorder="1" applyAlignment="1">
      <alignment horizontal="centerContinuous" vertical="center"/>
    </xf>
    <xf numFmtId="0" fontId="11" fillId="0" borderId="46" xfId="18" applyFont="1" applyBorder="1" applyAlignment="1">
      <alignment horizontal="centerContinuous" vertical="center"/>
    </xf>
    <xf numFmtId="0" fontId="11" fillId="0" borderId="47" xfId="18" applyFont="1" applyBorder="1" applyAlignment="1">
      <alignment horizontal="centerContinuous" vertical="center"/>
    </xf>
    <xf numFmtId="0" fontId="11" fillId="0" borderId="48" xfId="18" applyFont="1" applyBorder="1" applyAlignment="1">
      <alignment horizontal="centerContinuous" vertical="center"/>
    </xf>
    <xf numFmtId="0" fontId="11" fillId="0" borderId="31" xfId="18" applyFont="1" applyBorder="1" applyAlignment="1">
      <alignment horizontal="centerContinuous" vertical="center"/>
    </xf>
    <xf numFmtId="0" fontId="11" fillId="0" borderId="49" xfId="18" applyFont="1" applyBorder="1" applyAlignment="1">
      <alignment horizontal="centerContinuous" vertical="center"/>
    </xf>
    <xf numFmtId="0" fontId="11" fillId="0" borderId="30" xfId="18" applyFont="1" applyBorder="1" applyAlignment="1">
      <alignment horizontal="centerContinuous" vertical="center"/>
    </xf>
    <xf numFmtId="0" fontId="11" fillId="0" borderId="32" xfId="18" applyFont="1" applyBorder="1" applyAlignment="1">
      <alignment horizontal="centerContinuous" vertical="center"/>
    </xf>
    <xf numFmtId="0" fontId="6" fillId="0" borderId="6" xfId="18" applyFont="1" applyBorder="1" applyAlignment="1">
      <alignment horizontal="centerContinuous" vertical="center"/>
    </xf>
    <xf numFmtId="0" fontId="11" fillId="0" borderId="2" xfId="18" applyFont="1" applyBorder="1" applyAlignment="1">
      <alignment horizontal="center"/>
    </xf>
    <xf numFmtId="0" fontId="11" fillId="0" borderId="2" xfId="18" applyFont="1" applyBorder="1" applyAlignment="1">
      <alignment horizontal="center" vertical="center"/>
    </xf>
    <xf numFmtId="0" fontId="11" fillId="0" borderId="18" xfId="18" applyFont="1" applyBorder="1" applyAlignment="1">
      <alignment horizontal="center" vertical="center"/>
    </xf>
    <xf numFmtId="0" fontId="11" fillId="0" borderId="5" xfId="18" applyFont="1" applyBorder="1" applyAlignment="1">
      <alignment horizontal="center"/>
    </xf>
    <xf numFmtId="0" fontId="11" fillId="0" borderId="5" xfId="18" applyFont="1" applyBorder="1" applyAlignment="1">
      <alignment horizontal="center" vertical="center"/>
    </xf>
    <xf numFmtId="0" fontId="11" fillId="0" borderId="7" xfId="18" applyFont="1" applyBorder="1" applyAlignment="1">
      <alignment horizontal="center" vertical="center"/>
    </xf>
    <xf numFmtId="0" fontId="6" fillId="0" borderId="6" xfId="18" applyFont="1" applyBorder="1" applyAlignment="1">
      <alignment horizontal="center"/>
    </xf>
    <xf numFmtId="0" fontId="6" fillId="0" borderId="5" xfId="18" applyFont="1" applyBorder="1"/>
    <xf numFmtId="164" fontId="6" fillId="0" borderId="5" xfId="18" applyNumberFormat="1" applyFont="1" applyBorder="1"/>
    <xf numFmtId="164" fontId="6" fillId="0" borderId="7" xfId="18" applyNumberFormat="1" applyFont="1" applyBorder="1"/>
    <xf numFmtId="9" fontId="6" fillId="0" borderId="7" xfId="18" applyNumberFormat="1" applyFont="1" applyBorder="1"/>
    <xf numFmtId="0" fontId="6" fillId="0" borderId="0" xfId="18" applyFont="1" applyBorder="1" applyAlignment="1">
      <alignment horizontal="center"/>
    </xf>
    <xf numFmtId="0" fontId="6" fillId="0" borderId="0" xfId="18" applyFont="1" applyAlignment="1">
      <alignment horizontal="center"/>
    </xf>
    <xf numFmtId="9" fontId="6" fillId="0" borderId="0" xfId="18" applyNumberFormat="1" applyFont="1"/>
    <xf numFmtId="167" fontId="6" fillId="0" borderId="0" xfId="1" applyNumberFormat="1" applyFont="1"/>
    <xf numFmtId="43" fontId="6" fillId="0" borderId="0" xfId="1" applyFont="1" applyBorder="1"/>
    <xf numFmtId="0" fontId="8" fillId="0" borderId="37" xfId="18" applyFont="1" applyBorder="1" applyAlignment="1">
      <alignment horizontal="centerContinuous" vertical="center"/>
    </xf>
    <xf numFmtId="0" fontId="8" fillId="0" borderId="48" xfId="18" applyFont="1" applyBorder="1" applyAlignment="1">
      <alignment horizontal="centerContinuous" vertical="center"/>
    </xf>
    <xf numFmtId="9" fontId="11" fillId="0" borderId="7" xfId="18" applyNumberFormat="1" applyFont="1" applyBorder="1" applyAlignment="1">
      <alignment horizontal="center" vertical="center"/>
    </xf>
    <xf numFmtId="0" fontId="11" fillId="0" borderId="3" xfId="0" applyFont="1" applyBorder="1"/>
    <xf numFmtId="0" fontId="11" fillId="0" borderId="2" xfId="9" applyFont="1" applyBorder="1" applyAlignment="1">
      <alignment horizontal="center"/>
    </xf>
    <xf numFmtId="0" fontId="6" fillId="0" borderId="4" xfId="9" applyFont="1" applyBorder="1" applyAlignment="1">
      <alignment horizontal="left"/>
    </xf>
    <xf numFmtId="0" fontId="11" fillId="2" borderId="4" xfId="9" applyFont="1" applyFill="1" applyBorder="1" applyAlignment="1">
      <alignment horizontal="center"/>
    </xf>
    <xf numFmtId="0" fontId="11" fillId="0" borderId="0" xfId="0" applyFont="1" applyAlignment="1">
      <alignment horizontal="center" vertical="center" textRotation="90" wrapText="1"/>
    </xf>
    <xf numFmtId="0" fontId="0" fillId="0" borderId="2" xfId="0" applyBorder="1" applyAlignment="1">
      <alignment horizontal="center"/>
    </xf>
    <xf numFmtId="0" fontId="0" fillId="0" borderId="5" xfId="0" applyBorder="1"/>
    <xf numFmtId="164" fontId="0" fillId="0" borderId="5" xfId="0" applyNumberFormat="1" applyBorder="1"/>
    <xf numFmtId="164" fontId="0" fillId="0" borderId="0" xfId="0" applyNumberFormat="1"/>
    <xf numFmtId="164" fontId="6" fillId="4" borderId="5" xfId="0" applyNumberFormat="1" applyFont="1" applyFill="1" applyBorder="1"/>
    <xf numFmtId="164" fontId="0" fillId="0" borderId="0" xfId="0" applyNumberFormat="1" applyAlignment="1">
      <alignment horizontal="right"/>
    </xf>
    <xf numFmtId="0" fontId="11" fillId="0" borderId="2" xfId="0" applyFont="1" applyBorder="1" applyAlignment="1">
      <alignment horizontal="center"/>
    </xf>
    <xf numFmtId="0" fontId="11" fillId="0" borderId="33" xfId="0" applyFont="1" applyBorder="1" applyAlignment="1">
      <alignment horizontal="center"/>
    </xf>
    <xf numFmtId="0" fontId="11" fillId="0" borderId="3" xfId="11" applyFont="1" applyBorder="1" applyAlignment="1">
      <alignment horizontal="center"/>
    </xf>
    <xf numFmtId="0" fontId="6" fillId="0" borderId="33" xfId="11" applyFont="1" applyBorder="1"/>
    <xf numFmtId="0" fontId="6" fillId="0" borderId="2" xfId="11" applyFont="1" applyBorder="1"/>
    <xf numFmtId="0" fontId="11" fillId="0" borderId="3" xfId="10" applyFont="1" applyBorder="1" applyAlignment="1">
      <alignment horizontal="center"/>
    </xf>
    <xf numFmtId="0" fontId="11" fillId="0" borderId="3" xfId="12" applyFont="1" applyBorder="1" applyAlignment="1">
      <alignment horizontal="center"/>
    </xf>
    <xf numFmtId="0" fontId="6" fillId="0" borderId="33" xfId="12" applyFont="1" applyBorder="1"/>
    <xf numFmtId="0" fontId="1" fillId="0" borderId="0" xfId="14" applyFont="1"/>
    <xf numFmtId="0" fontId="1" fillId="0" borderId="0" xfId="14" applyFont="1" applyAlignment="1">
      <alignment horizontal="center"/>
    </xf>
    <xf numFmtId="9" fontId="6" fillId="5" borderId="52" xfId="14" applyNumberFormat="1" applyFont="1" applyFill="1" applyBorder="1"/>
    <xf numFmtId="165" fontId="6" fillId="0" borderId="52" xfId="14" applyNumberFormat="1" applyFont="1" applyBorder="1"/>
    <xf numFmtId="0" fontId="11" fillId="0" borderId="5" xfId="12" applyFont="1" applyBorder="1"/>
    <xf numFmtId="0" fontId="27" fillId="0" borderId="0" xfId="0" applyFont="1"/>
    <xf numFmtId="0" fontId="32" fillId="0" borderId="0" xfId="0" applyFont="1"/>
    <xf numFmtId="165" fontId="6" fillId="0" borderId="0" xfId="14" applyNumberFormat="1" applyFont="1" applyBorder="1"/>
    <xf numFmtId="0" fontId="6" fillId="2" borderId="45" xfId="24" applyFont="1" applyFill="1" applyBorder="1" applyAlignment="1">
      <alignment horizontal="right"/>
    </xf>
    <xf numFmtId="164" fontId="6" fillId="0" borderId="3" xfId="24" applyNumberFormat="1" applyFont="1" applyBorder="1" applyAlignment="1">
      <alignment horizontal="right"/>
    </xf>
    <xf numFmtId="164" fontId="6" fillId="0" borderId="3" xfId="23" applyNumberFormat="1" applyFont="1" applyBorder="1" applyAlignment="1">
      <alignment horizontal="right"/>
    </xf>
    <xf numFmtId="0" fontId="6" fillId="0" borderId="53" xfId="23" applyFont="1" applyBorder="1" applyAlignment="1">
      <alignment horizontal="centerContinuous"/>
    </xf>
    <xf numFmtId="0" fontId="6" fillId="0" borderId="45" xfId="23" applyFont="1" applyBorder="1" applyAlignment="1">
      <alignment horizontal="right"/>
    </xf>
    <xf numFmtId="164" fontId="6" fillId="0" borderId="18" xfId="23" applyNumberFormat="1" applyFont="1" applyBorder="1" applyAlignment="1">
      <alignment horizontal="right"/>
    </xf>
    <xf numFmtId="0" fontId="33" fillId="0" borderId="0" xfId="0" applyFont="1"/>
    <xf numFmtId="0" fontId="8" fillId="0" borderId="0" xfId="19" applyFont="1"/>
    <xf numFmtId="0" fontId="11" fillId="0" borderId="2" xfId="19" applyFont="1" applyBorder="1" applyAlignment="1">
      <alignment horizontal="center" vertical="center" wrapText="1"/>
    </xf>
    <xf numFmtId="0" fontId="6" fillId="0" borderId="0" xfId="19" applyFont="1"/>
    <xf numFmtId="0" fontId="11" fillId="0" borderId="50" xfId="19" applyFont="1" applyBorder="1"/>
    <xf numFmtId="0" fontId="6" fillId="0" borderId="0" xfId="19" applyFont="1" applyBorder="1"/>
    <xf numFmtId="0" fontId="6" fillId="0" borderId="22" xfId="19" applyFont="1" applyBorder="1"/>
    <xf numFmtId="2" fontId="6" fillId="0" borderId="33" xfId="19" applyNumberFormat="1" applyFont="1" applyBorder="1"/>
    <xf numFmtId="0" fontId="6" fillId="0" borderId="50" xfId="19" applyFont="1" applyBorder="1"/>
    <xf numFmtId="0" fontId="6" fillId="0" borderId="54" xfId="19" applyFont="1" applyBorder="1"/>
    <xf numFmtId="0" fontId="6" fillId="0" borderId="44" xfId="19" applyFont="1" applyBorder="1"/>
    <xf numFmtId="0" fontId="6" fillId="0" borderId="7" xfId="19" applyFont="1" applyBorder="1"/>
    <xf numFmtId="2" fontId="6" fillId="0" borderId="5" xfId="19" applyNumberFormat="1" applyFont="1" applyBorder="1"/>
    <xf numFmtId="0" fontId="11" fillId="0" borderId="50" xfId="19" applyFont="1" applyBorder="1" applyAlignment="1">
      <alignment horizontal="left"/>
    </xf>
    <xf numFmtId="0" fontId="6" fillId="2" borderId="0" xfId="19" applyFont="1" applyFill="1" applyBorder="1"/>
    <xf numFmtId="0" fontId="6" fillId="2" borderId="22" xfId="19" applyFont="1" applyFill="1" applyBorder="1"/>
    <xf numFmtId="2" fontId="11" fillId="2" borderId="33" xfId="19" applyNumberFormat="1" applyFont="1" applyFill="1" applyBorder="1"/>
    <xf numFmtId="2" fontId="11" fillId="0" borderId="33" xfId="19" applyNumberFormat="1" applyFont="1" applyBorder="1"/>
    <xf numFmtId="0" fontId="20" fillId="0" borderId="0" xfId="19" applyFont="1"/>
    <xf numFmtId="2" fontId="6" fillId="0" borderId="0" xfId="19" applyNumberFormat="1" applyFont="1"/>
    <xf numFmtId="0" fontId="18" fillId="5" borderId="4" xfId="15" applyFont="1" applyFill="1" applyBorder="1"/>
    <xf numFmtId="0" fontId="18" fillId="5" borderId="7" xfId="15" applyFont="1" applyFill="1" applyBorder="1"/>
    <xf numFmtId="0" fontId="18" fillId="5" borderId="5" xfId="15" applyFont="1" applyFill="1" applyBorder="1"/>
    <xf numFmtId="0" fontId="18" fillId="5" borderId="43" xfId="15" applyFont="1" applyFill="1" applyBorder="1"/>
    <xf numFmtId="0" fontId="11" fillId="0" borderId="5" xfId="9" applyFont="1" applyBorder="1"/>
    <xf numFmtId="1" fontId="6" fillId="0" borderId="5" xfId="12" applyNumberFormat="1" applyFont="1" applyBorder="1"/>
    <xf numFmtId="0" fontId="0" fillId="0" borderId="0" xfId="0" applyFill="1"/>
    <xf numFmtId="0" fontId="6" fillId="0" borderId="0" xfId="0" applyFont="1" applyFill="1"/>
    <xf numFmtId="0" fontId="6" fillId="0" borderId="0" xfId="0" applyFont="1" applyFill="1" applyAlignment="1">
      <alignment horizontal="center"/>
    </xf>
    <xf numFmtId="0" fontId="35" fillId="0" borderId="0" xfId="0" applyFont="1" applyFill="1"/>
    <xf numFmtId="0" fontId="6" fillId="0" borderId="0" xfId="14" applyFont="1" applyFill="1"/>
    <xf numFmtId="0" fontId="6" fillId="0" borderId="0" xfId="22" applyFont="1" applyFill="1" applyBorder="1"/>
    <xf numFmtId="0" fontId="6" fillId="0" borderId="0" xfId="22" applyFont="1" applyFill="1"/>
    <xf numFmtId="165" fontId="6" fillId="0" borderId="51" xfId="14" applyNumberFormat="1" applyFont="1" applyBorder="1"/>
    <xf numFmtId="0" fontId="11" fillId="6" borderId="4" xfId="0" applyFont="1" applyFill="1" applyBorder="1" applyAlignment="1">
      <alignment horizontal="centerContinuous" vertical="center"/>
    </xf>
    <xf numFmtId="0" fontId="11" fillId="6" borderId="5" xfId="0" applyFont="1" applyFill="1" applyBorder="1" applyAlignment="1">
      <alignment horizontal="centerContinuous" vertical="center"/>
    </xf>
    <xf numFmtId="0" fontId="11" fillId="6" borderId="4" xfId="0" applyFont="1" applyFill="1" applyBorder="1" applyAlignment="1">
      <alignment horizontal="centerContinuous" vertical="center" wrapText="1"/>
    </xf>
    <xf numFmtId="0" fontId="11" fillId="6" borderId="3" xfId="0" applyFont="1" applyFill="1" applyBorder="1" applyAlignment="1">
      <alignment horizontal="center" vertical="center" wrapText="1"/>
    </xf>
    <xf numFmtId="0" fontId="11" fillId="6" borderId="2" xfId="0" applyFont="1" applyFill="1" applyBorder="1" applyAlignment="1">
      <alignment horizontal="centerContinuous" vertical="center"/>
    </xf>
    <xf numFmtId="0" fontId="6" fillId="5" borderId="5" xfId="0" applyFont="1" applyFill="1" applyBorder="1"/>
    <xf numFmtId="0" fontId="6" fillId="5" borderId="7" xfId="0" applyFont="1" applyFill="1" applyBorder="1"/>
    <xf numFmtId="0" fontId="6" fillId="5" borderId="7" xfId="9" applyFont="1" applyFill="1" applyBorder="1"/>
    <xf numFmtId="165" fontId="0" fillId="0" borderId="52" xfId="0" applyNumberFormat="1" applyBorder="1" applyAlignment="1">
      <alignment horizontal="center"/>
    </xf>
    <xf numFmtId="0" fontId="23" fillId="5" borderId="4" xfId="12" applyFont="1" applyFill="1" applyBorder="1" applyAlignment="1">
      <alignment horizontal="center"/>
    </xf>
    <xf numFmtId="0" fontId="6" fillId="5" borderId="45" xfId="9" applyFont="1" applyFill="1" applyBorder="1"/>
    <xf numFmtId="0" fontId="18" fillId="5" borderId="55" xfId="15" applyFont="1" applyFill="1" applyBorder="1"/>
    <xf numFmtId="0" fontId="6" fillId="7" borderId="45" xfId="9" applyFont="1" applyFill="1" applyBorder="1"/>
    <xf numFmtId="0" fontId="6" fillId="7" borderId="7" xfId="9" applyFont="1" applyFill="1" applyBorder="1"/>
    <xf numFmtId="0" fontId="11" fillId="0" borderId="5" xfId="22" applyFont="1" applyBorder="1"/>
    <xf numFmtId="164" fontId="11" fillId="0" borderId="7" xfId="22" applyNumberFormat="1" applyFont="1" applyBorder="1"/>
    <xf numFmtId="0" fontId="11" fillId="0" borderId="5" xfId="22" applyFont="1" applyFill="1" applyBorder="1"/>
    <xf numFmtId="0" fontId="19" fillId="4" borderId="56" xfId="15" applyFont="1" applyFill="1" applyBorder="1"/>
    <xf numFmtId="0" fontId="6" fillId="5" borderId="6" xfId="22" applyFont="1" applyFill="1" applyBorder="1"/>
    <xf numFmtId="0" fontId="6" fillId="5" borderId="7" xfId="22" applyFont="1" applyFill="1" applyBorder="1"/>
    <xf numFmtId="0" fontId="6" fillId="5" borderId="45" xfId="22" applyFont="1" applyFill="1" applyBorder="1"/>
    <xf numFmtId="0" fontId="6" fillId="5" borderId="2" xfId="22" applyFont="1" applyFill="1" applyBorder="1"/>
    <xf numFmtId="0" fontId="6" fillId="0" borderId="5" xfId="18" applyFont="1" applyFill="1" applyBorder="1"/>
    <xf numFmtId="164" fontId="6" fillId="0" borderId="5" xfId="18" applyNumberFormat="1" applyFont="1" applyFill="1" applyBorder="1"/>
    <xf numFmtId="164" fontId="6" fillId="0" borderId="7" xfId="18" applyNumberFormat="1" applyFont="1" applyFill="1" applyBorder="1"/>
    <xf numFmtId="9" fontId="6" fillId="0" borderId="7" xfId="18" applyNumberFormat="1" applyFont="1" applyFill="1" applyBorder="1"/>
    <xf numFmtId="0" fontId="11" fillId="5" borderId="3" xfId="0" applyFont="1" applyFill="1" applyBorder="1"/>
    <xf numFmtId="0" fontId="6" fillId="7" borderId="2" xfId="9" applyFont="1" applyFill="1" applyBorder="1"/>
    <xf numFmtId="0" fontId="6" fillId="5" borderId="2" xfId="9" applyFont="1" applyFill="1" applyBorder="1"/>
    <xf numFmtId="0" fontId="6" fillId="0" borderId="33" xfId="10" applyFont="1" applyBorder="1"/>
    <xf numFmtId="0" fontId="23" fillId="5" borderId="3" xfId="12" applyFont="1" applyFill="1" applyBorder="1" applyAlignment="1">
      <alignment horizontal="center"/>
    </xf>
    <xf numFmtId="0" fontId="6" fillId="0" borderId="2" xfId="10" applyFont="1" applyBorder="1"/>
    <xf numFmtId="0" fontId="6" fillId="0" borderId="35" xfId="9" applyFont="1" applyBorder="1"/>
    <xf numFmtId="0" fontId="6" fillId="0" borderId="35" xfId="9" applyFont="1" applyBorder="1" applyAlignment="1">
      <alignment horizontal="left"/>
    </xf>
    <xf numFmtId="0" fontId="6" fillId="5" borderId="6" xfId="0" applyFont="1" applyFill="1" applyBorder="1" applyAlignment="1">
      <alignment horizontal="center"/>
    </xf>
    <xf numFmtId="0" fontId="6" fillId="5" borderId="5" xfId="0" applyFont="1" applyFill="1" applyBorder="1" applyAlignment="1">
      <alignment horizontal="right"/>
    </xf>
    <xf numFmtId="164" fontId="6" fillId="5" borderId="7" xfId="0" applyNumberFormat="1" applyFont="1" applyFill="1" applyBorder="1" applyAlignment="1">
      <alignment horizontal="right"/>
    </xf>
    <xf numFmtId="0" fontId="6" fillId="5" borderId="19" xfId="24" applyFont="1" applyFill="1" applyBorder="1" applyAlignment="1">
      <alignment horizontal="center"/>
    </xf>
    <xf numFmtId="0" fontId="6" fillId="5" borderId="33" xfId="24" applyFont="1" applyFill="1" applyBorder="1" applyAlignment="1">
      <alignment horizontal="right"/>
    </xf>
    <xf numFmtId="164" fontId="6" fillId="5" borderId="33" xfId="24" applyNumberFormat="1" applyFont="1" applyFill="1" applyBorder="1" applyAlignment="1">
      <alignment horizontal="right"/>
    </xf>
    <xf numFmtId="164" fontId="6" fillId="5" borderId="22" xfId="24" applyNumberFormat="1" applyFont="1" applyFill="1" applyBorder="1" applyAlignment="1">
      <alignment horizontal="right"/>
    </xf>
    <xf numFmtId="0" fontId="6" fillId="5" borderId="22" xfId="24" applyFont="1" applyFill="1" applyBorder="1" applyAlignment="1">
      <alignment horizontal="right"/>
    </xf>
    <xf numFmtId="0" fontId="6" fillId="5" borderId="6" xfId="17" applyFont="1" applyFill="1" applyBorder="1" applyAlignment="1">
      <alignment horizontal="center"/>
    </xf>
    <xf numFmtId="0" fontId="6" fillId="5" borderId="5" xfId="17" applyFont="1" applyFill="1" applyBorder="1"/>
    <xf numFmtId="0" fontId="6" fillId="5" borderId="7" xfId="17" applyFont="1" applyFill="1" applyBorder="1"/>
    <xf numFmtId="0" fontId="6" fillId="5" borderId="6" xfId="16" applyFont="1" applyFill="1" applyBorder="1" applyAlignment="1">
      <alignment horizontal="center"/>
    </xf>
    <xf numFmtId="0" fontId="6" fillId="5" borderId="5" xfId="16" applyFont="1" applyFill="1" applyBorder="1"/>
    <xf numFmtId="0" fontId="6" fillId="5" borderId="7" xfId="16" applyFont="1" applyFill="1" applyBorder="1"/>
    <xf numFmtId="165" fontId="6" fillId="5" borderId="5" xfId="16" applyNumberFormat="1" applyFont="1" applyFill="1" applyBorder="1"/>
    <xf numFmtId="165" fontId="6" fillId="5" borderId="7" xfId="16" applyNumberFormat="1" applyFont="1" applyFill="1" applyBorder="1"/>
    <xf numFmtId="164" fontId="6" fillId="5" borderId="5" xfId="18" applyNumberFormat="1" applyFont="1" applyFill="1" applyBorder="1"/>
    <xf numFmtId="164" fontId="6" fillId="5" borderId="52" xfId="18" applyNumberFormat="1" applyFont="1" applyFill="1" applyBorder="1"/>
    <xf numFmtId="0" fontId="6" fillId="5" borderId="6" xfId="21" applyFont="1" applyFill="1" applyBorder="1" applyAlignment="1">
      <alignment horizontal="center"/>
    </xf>
    <xf numFmtId="0" fontId="6" fillId="5" borderId="5" xfId="21" applyFont="1" applyFill="1" applyBorder="1"/>
    <xf numFmtId="164" fontId="6" fillId="5" borderId="7" xfId="21" applyNumberFormat="1" applyFont="1" applyFill="1" applyBorder="1"/>
    <xf numFmtId="0" fontId="23" fillId="5" borderId="4" xfId="10" applyFont="1" applyFill="1" applyBorder="1" applyAlignment="1">
      <alignment horizontal="center"/>
    </xf>
    <xf numFmtId="0" fontId="11" fillId="5" borderId="5" xfId="10" applyFont="1" applyFill="1" applyBorder="1" applyAlignment="1">
      <alignment horizontal="center"/>
    </xf>
    <xf numFmtId="0" fontId="6" fillId="5" borderId="6" xfId="18" applyFont="1" applyFill="1" applyBorder="1" applyAlignment="1">
      <alignment horizontal="center"/>
    </xf>
    <xf numFmtId="0" fontId="6" fillId="5" borderId="5" xfId="18" applyFont="1" applyFill="1" applyBorder="1"/>
    <xf numFmtId="164" fontId="6" fillId="5" borderId="7" xfId="18" applyNumberFormat="1" applyFont="1" applyFill="1" applyBorder="1"/>
    <xf numFmtId="9" fontId="6" fillId="5" borderId="7" xfId="18" applyNumberFormat="1" applyFont="1" applyFill="1" applyBorder="1"/>
    <xf numFmtId="0" fontId="6" fillId="5" borderId="4" xfId="9" applyFont="1" applyFill="1" applyBorder="1"/>
    <xf numFmtId="0" fontId="6" fillId="5" borderId="5" xfId="9" applyFont="1" applyFill="1" applyBorder="1"/>
    <xf numFmtId="0" fontId="6" fillId="5" borderId="7" xfId="0" applyFont="1" applyFill="1" applyBorder="1" applyAlignment="1">
      <alignment horizontal="center"/>
    </xf>
    <xf numFmtId="0" fontId="11" fillId="5" borderId="6" xfId="0" applyFont="1" applyFill="1" applyBorder="1" applyAlignment="1">
      <alignment horizontal="centerContinuous" vertical="center"/>
    </xf>
    <xf numFmtId="0" fontId="39" fillId="0" borderId="0" xfId="0" applyFont="1"/>
    <xf numFmtId="0" fontId="23" fillId="0" borderId="0" xfId="0" applyFont="1"/>
    <xf numFmtId="0" fontId="10" fillId="0" borderId="0" xfId="0" applyFont="1" applyFill="1"/>
    <xf numFmtId="0" fontId="10" fillId="0" borderId="0" xfId="0" applyFont="1" applyFill="1" applyAlignment="1">
      <alignment horizontal="center"/>
    </xf>
    <xf numFmtId="0" fontId="6" fillId="5" borderId="4" xfId="11" applyFont="1" applyFill="1" applyBorder="1"/>
    <xf numFmtId="0" fontId="6" fillId="5" borderId="5" xfId="11" applyFont="1" applyFill="1" applyBorder="1"/>
    <xf numFmtId="0" fontId="23" fillId="5" borderId="3" xfId="10" applyFont="1" applyFill="1" applyBorder="1" applyAlignment="1">
      <alignment horizontal="center"/>
    </xf>
    <xf numFmtId="0" fontId="11" fillId="5" borderId="2" xfId="10" applyFont="1" applyFill="1" applyBorder="1" applyAlignment="1">
      <alignment horizontal="center"/>
    </xf>
    <xf numFmtId="0" fontId="6" fillId="5" borderId="1" xfId="24" applyFont="1" applyFill="1" applyBorder="1" applyAlignment="1">
      <alignment horizontal="center"/>
    </xf>
    <xf numFmtId="0" fontId="6" fillId="5" borderId="2" xfId="24" applyFont="1" applyFill="1" applyBorder="1" applyAlignment="1">
      <alignment horizontal="right"/>
    </xf>
    <xf numFmtId="164" fontId="6" fillId="5" borderId="2" xfId="24" applyNumberFormat="1" applyFont="1" applyFill="1" applyBorder="1" applyAlignment="1">
      <alignment horizontal="right"/>
    </xf>
    <xf numFmtId="164" fontId="6" fillId="5" borderId="18" xfId="24" applyNumberFormat="1" applyFont="1" applyFill="1" applyBorder="1" applyAlignment="1">
      <alignment horizontal="right"/>
    </xf>
    <xf numFmtId="0" fontId="6" fillId="5" borderId="18" xfId="24" applyFont="1" applyFill="1" applyBorder="1" applyAlignment="1">
      <alignment horizontal="right"/>
    </xf>
    <xf numFmtId="164" fontId="11" fillId="5" borderId="2" xfId="23" applyNumberFormat="1" applyFont="1" applyFill="1" applyBorder="1" applyAlignment="1">
      <alignment horizontal="centerContinuous" vertical="center" wrapText="1"/>
    </xf>
    <xf numFmtId="0" fontId="11" fillId="5" borderId="2" xfId="23" applyFont="1" applyFill="1" applyBorder="1" applyAlignment="1">
      <alignment horizontal="centerContinuous" vertical="center" wrapText="1"/>
    </xf>
    <xf numFmtId="0" fontId="11" fillId="5" borderId="5" xfId="0" applyFont="1" applyFill="1" applyBorder="1" applyAlignment="1">
      <alignment horizontal="right" vertical="center" wrapText="1"/>
    </xf>
    <xf numFmtId="164" fontId="11" fillId="5" borderId="7" xfId="0" applyNumberFormat="1" applyFont="1" applyFill="1" applyBorder="1" applyAlignment="1">
      <alignment horizontal="right" vertical="center" wrapText="1"/>
    </xf>
    <xf numFmtId="0" fontId="6" fillId="5" borderId="6" xfId="24" applyFont="1" applyFill="1" applyBorder="1" applyAlignment="1">
      <alignment horizontal="center"/>
    </xf>
    <xf numFmtId="0" fontId="6" fillId="5" borderId="5" xfId="24" applyFont="1" applyFill="1" applyBorder="1" applyAlignment="1">
      <alignment horizontal="right"/>
    </xf>
    <xf numFmtId="164" fontId="6" fillId="5" borderId="5" xfId="24" applyNumberFormat="1" applyFont="1" applyFill="1" applyBorder="1" applyAlignment="1">
      <alignment horizontal="right"/>
    </xf>
    <xf numFmtId="164" fontId="6" fillId="5" borderId="7" xfId="24" applyNumberFormat="1" applyFont="1" applyFill="1" applyBorder="1" applyAlignment="1">
      <alignment horizontal="right"/>
    </xf>
    <xf numFmtId="0" fontId="6" fillId="5" borderId="7" xfId="24" applyFont="1" applyFill="1" applyBorder="1" applyAlignment="1">
      <alignment horizontal="right"/>
    </xf>
    <xf numFmtId="0" fontId="11" fillId="5" borderId="53" xfId="23" applyFont="1" applyFill="1" applyBorder="1" applyAlignment="1">
      <alignment horizontal="center" vertical="center" wrapText="1"/>
    </xf>
    <xf numFmtId="0" fontId="11" fillId="5" borderId="45" xfId="23" applyFont="1" applyFill="1" applyBorder="1" applyAlignment="1">
      <alignment horizontal="centerContinuous" vertical="center" wrapText="1"/>
    </xf>
    <xf numFmtId="164" fontId="11" fillId="5" borderId="18" xfId="23" applyNumberFormat="1" applyFont="1" applyFill="1" applyBorder="1" applyAlignment="1">
      <alignment horizontal="centerContinuous" vertical="center" wrapText="1"/>
    </xf>
    <xf numFmtId="0" fontId="11" fillId="5" borderId="18" xfId="23" applyFont="1" applyFill="1" applyBorder="1" applyAlignment="1">
      <alignment horizontal="centerContinuous" vertical="center" wrapText="1"/>
    </xf>
    <xf numFmtId="164" fontId="6" fillId="5" borderId="6" xfId="18" applyNumberFormat="1" applyFont="1" applyFill="1" applyBorder="1"/>
    <xf numFmtId="0" fontId="0" fillId="0" borderId="6" xfId="0" applyBorder="1"/>
    <xf numFmtId="0" fontId="0" fillId="0" borderId="1" xfId="0" applyBorder="1"/>
    <xf numFmtId="1" fontId="11" fillId="5" borderId="3" xfId="0" applyNumberFormat="1" applyFont="1" applyFill="1" applyBorder="1" applyAlignment="1">
      <alignment horizontal="centerContinuous" vertical="center"/>
    </xf>
    <xf numFmtId="1" fontId="11" fillId="0" borderId="3" xfId="0" applyNumberFormat="1" applyFont="1" applyBorder="1"/>
    <xf numFmtId="1" fontId="11" fillId="5" borderId="3" xfId="0" applyNumberFormat="1" applyFont="1" applyFill="1" applyBorder="1" applyAlignment="1">
      <alignment horizontal="right" vertical="center"/>
    </xf>
    <xf numFmtId="1" fontId="11" fillId="0" borderId="0" xfId="0" applyNumberFormat="1" applyFont="1"/>
    <xf numFmtId="165" fontId="6" fillId="0" borderId="0" xfId="16" applyNumberFormat="1" applyFont="1"/>
    <xf numFmtId="1" fontId="6" fillId="0" borderId="0" xfId="17" applyNumberFormat="1" applyFont="1" applyBorder="1"/>
    <xf numFmtId="0" fontId="25" fillId="0" borderId="1" xfId="22" applyFont="1" applyBorder="1" applyAlignment="1">
      <alignment horizontal="center" vertical="center" wrapText="1"/>
    </xf>
    <xf numFmtId="0" fontId="6" fillId="5" borderId="1" xfId="22" applyFont="1" applyFill="1" applyBorder="1"/>
    <xf numFmtId="0" fontId="40" fillId="0" borderId="0" xfId="0" applyFont="1"/>
    <xf numFmtId="0" fontId="14" fillId="0" borderId="0" xfId="23" applyFont="1" applyBorder="1" applyAlignment="1">
      <alignment horizontal="center"/>
    </xf>
    <xf numFmtId="9" fontId="6" fillId="0" borderId="7" xfId="26" applyFont="1" applyBorder="1" applyAlignment="1">
      <alignment horizontal="right"/>
    </xf>
    <xf numFmtId="9" fontId="11" fillId="5" borderId="7" xfId="26" applyFont="1" applyFill="1" applyBorder="1" applyAlignment="1">
      <alignment horizontal="right" vertical="center" wrapText="1"/>
    </xf>
    <xf numFmtId="0" fontId="16" fillId="0" borderId="9" xfId="23" applyFont="1" applyBorder="1" applyAlignment="1">
      <alignment horizontal="centerContinuous" vertical="center" wrapText="1"/>
    </xf>
    <xf numFmtId="0" fontId="11" fillId="0" borderId="8" xfId="23" applyFont="1" applyBorder="1" applyAlignment="1">
      <alignment horizontal="center"/>
    </xf>
    <xf numFmtId="0" fontId="11" fillId="0" borderId="19" xfId="23" applyFont="1" applyBorder="1" applyAlignment="1">
      <alignment horizontal="center" vertical="top"/>
    </xf>
    <xf numFmtId="0" fontId="6" fillId="0" borderId="1" xfId="23" applyFont="1" applyBorder="1" applyAlignment="1">
      <alignment horizontal="centerContinuous"/>
    </xf>
    <xf numFmtId="0" fontId="16" fillId="0" borderId="12" xfId="23" applyNumberFormat="1" applyFont="1" applyBorder="1" applyAlignment="1">
      <alignment horizontal="centerContinuous" vertical="center" wrapText="1"/>
    </xf>
    <xf numFmtId="1" fontId="11" fillId="5" borderId="7" xfId="0" applyNumberFormat="1" applyFont="1" applyFill="1" applyBorder="1" applyAlignment="1">
      <alignment horizontal="centerContinuous" vertical="center"/>
    </xf>
    <xf numFmtId="1" fontId="11" fillId="0" borderId="18" xfId="0" applyNumberFormat="1" applyFont="1" applyBorder="1"/>
    <xf numFmtId="1" fontId="11" fillId="5" borderId="18" xfId="0" applyNumberFormat="1" applyFont="1" applyFill="1" applyBorder="1" applyAlignment="1">
      <alignment horizontal="centerContinuous" vertical="center"/>
    </xf>
    <xf numFmtId="0" fontId="11" fillId="2" borderId="57" xfId="0" applyFont="1" applyFill="1" applyBorder="1" applyAlignment="1">
      <alignment horizontal="center" vertical="center" wrapText="1"/>
    </xf>
    <xf numFmtId="0" fontId="11" fillId="0" borderId="58" xfId="0" applyFont="1" applyFill="1" applyBorder="1" applyAlignment="1">
      <alignment horizontal="centerContinuous" vertical="center" wrapText="1"/>
    </xf>
    <xf numFmtId="0" fontId="11" fillId="5" borderId="1" xfId="0" applyFont="1" applyFill="1" applyBorder="1"/>
    <xf numFmtId="1" fontId="11" fillId="0" borderId="1" xfId="0" applyNumberFormat="1" applyFont="1" applyBorder="1" applyAlignment="1">
      <alignment horizontal="left"/>
    </xf>
    <xf numFmtId="164" fontId="11" fillId="0" borderId="18" xfId="26" applyNumberFormat="1" applyFont="1" applyBorder="1"/>
    <xf numFmtId="0" fontId="11" fillId="0" borderId="1" xfId="0" applyFont="1" applyBorder="1" applyAlignment="1">
      <alignment horizontal="left"/>
    </xf>
    <xf numFmtId="164" fontId="11" fillId="5" borderId="18" xfId="26" applyNumberFormat="1" applyFont="1" applyFill="1" applyBorder="1" applyAlignment="1">
      <alignment horizontal="right" vertical="center"/>
    </xf>
    <xf numFmtId="0" fontId="11" fillId="5" borderId="23" xfId="0" applyFont="1" applyFill="1" applyBorder="1"/>
    <xf numFmtId="1" fontId="11" fillId="5" borderId="15" xfId="0" applyNumberFormat="1" applyFont="1" applyFill="1" applyBorder="1" applyAlignment="1">
      <alignment horizontal="right" vertical="center"/>
    </xf>
    <xf numFmtId="9" fontId="11" fillId="5" borderId="25" xfId="26" applyFont="1" applyFill="1" applyBorder="1" applyAlignment="1">
      <alignment horizontal="right" vertical="center"/>
    </xf>
    <xf numFmtId="0" fontId="11" fillId="0" borderId="59" xfId="15" applyFont="1" applyBorder="1" applyAlignment="1">
      <alignment horizontal="centerContinuous" wrapText="1"/>
    </xf>
    <xf numFmtId="0" fontId="17" fillId="5" borderId="59" xfId="15" applyFont="1" applyFill="1" applyBorder="1" applyAlignment="1">
      <alignment horizontal="left" wrapText="1"/>
    </xf>
    <xf numFmtId="0" fontId="17" fillId="4" borderId="59" xfId="15" applyFont="1" applyFill="1" applyBorder="1" applyAlignment="1">
      <alignment horizontal="left"/>
    </xf>
    <xf numFmtId="0" fontId="11" fillId="0" borderId="1" xfId="22" applyFont="1" applyBorder="1" applyAlignment="1">
      <alignment horizontal="center"/>
    </xf>
    <xf numFmtId="0" fontId="0" fillId="0" borderId="41" xfId="9" applyFont="1" applyBorder="1"/>
    <xf numFmtId="0" fontId="0" fillId="0" borderId="35" xfId="9" applyFont="1" applyBorder="1"/>
    <xf numFmtId="0" fontId="6" fillId="4" borderId="35" xfId="9" applyFont="1" applyFill="1" applyBorder="1"/>
    <xf numFmtId="0" fontId="6" fillId="0" borderId="35" xfId="0" applyFont="1" applyBorder="1"/>
    <xf numFmtId="0" fontId="6" fillId="5" borderId="35" xfId="9" applyFont="1" applyFill="1" applyBorder="1"/>
    <xf numFmtId="0" fontId="11" fillId="2" borderId="35" xfId="9" applyFont="1" applyFill="1" applyBorder="1" applyAlignment="1">
      <alignment horizontal="center"/>
    </xf>
    <xf numFmtId="0" fontId="11" fillId="0" borderId="57" xfId="0" applyFont="1" applyFill="1" applyBorder="1" applyAlignment="1">
      <alignment horizontal="centerContinuous" vertical="center" wrapText="1"/>
    </xf>
    <xf numFmtId="0" fontId="11" fillId="0" borderId="0" xfId="0" applyFont="1" applyFill="1" applyAlignment="1">
      <alignment horizontal="center"/>
    </xf>
    <xf numFmtId="165" fontId="6" fillId="0" borderId="5" xfId="14" applyNumberFormat="1" applyFont="1" applyFill="1" applyBorder="1"/>
    <xf numFmtId="1" fontId="11" fillId="5" borderId="3" xfId="0" applyNumberFormat="1" applyFont="1" applyFill="1" applyBorder="1" applyAlignment="1">
      <alignment horizontal="center" vertical="center"/>
    </xf>
    <xf numFmtId="1" fontId="11" fillId="5" borderId="18" xfId="0" applyNumberFormat="1" applyFont="1" applyFill="1" applyBorder="1" applyAlignment="1">
      <alignment horizontal="right" vertical="center"/>
    </xf>
    <xf numFmtId="1" fontId="11" fillId="5" borderId="25" xfId="0" applyNumberFormat="1" applyFont="1" applyFill="1" applyBorder="1" applyAlignment="1">
      <alignment horizontal="right" vertical="center"/>
    </xf>
    <xf numFmtId="2" fontId="6" fillId="0" borderId="33" xfId="19" applyNumberFormat="1" applyFont="1" applyFill="1" applyBorder="1"/>
    <xf numFmtId="2" fontId="6" fillId="0" borderId="5" xfId="19" applyNumberFormat="1" applyFont="1" applyFill="1" applyBorder="1"/>
    <xf numFmtId="9" fontId="6" fillId="5" borderId="51" xfId="14" applyNumberFormat="1" applyFont="1" applyFill="1" applyBorder="1"/>
    <xf numFmtId="0" fontId="20" fillId="0" borderId="0" xfId="0" applyFont="1" applyAlignment="1">
      <alignment horizontal="left"/>
    </xf>
    <xf numFmtId="0" fontId="21" fillId="0" borderId="0" xfId="20" applyFont="1" applyFill="1" applyBorder="1" applyAlignment="1">
      <alignment horizontal="center" vertical="center"/>
    </xf>
    <xf numFmtId="0" fontId="41" fillId="0" borderId="0" xfId="0" applyFont="1" applyFill="1"/>
    <xf numFmtId="0" fontId="1" fillId="0" borderId="3" xfId="0" applyFont="1" applyFill="1" applyBorder="1"/>
    <xf numFmtId="0" fontId="11" fillId="0" borderId="60" xfId="0" applyFont="1" applyFill="1" applyBorder="1" applyAlignment="1">
      <alignment horizontal="center"/>
    </xf>
    <xf numFmtId="0" fontId="11" fillId="0" borderId="61" xfId="0" applyFont="1" applyFill="1" applyBorder="1" applyAlignment="1">
      <alignment horizontal="center"/>
    </xf>
    <xf numFmtId="0" fontId="11" fillId="0" borderId="62" xfId="0" applyFont="1" applyFill="1" applyBorder="1" applyAlignment="1">
      <alignment horizontal="center"/>
    </xf>
    <xf numFmtId="0" fontId="1" fillId="0" borderId="45" xfId="0" applyFont="1" applyFill="1" applyBorder="1" applyAlignment="1">
      <alignment horizontal="right"/>
    </xf>
    <xf numFmtId="0" fontId="11" fillId="0" borderId="58" xfId="0" applyFont="1" applyFill="1" applyBorder="1" applyAlignment="1">
      <alignment horizontal="center"/>
    </xf>
    <xf numFmtId="9" fontId="1" fillId="0" borderId="18" xfId="26" applyNumberFormat="1" applyFont="1" applyFill="1" applyBorder="1"/>
    <xf numFmtId="0" fontId="1" fillId="0" borderId="51" xfId="0" applyFont="1" applyFill="1" applyBorder="1"/>
    <xf numFmtId="0" fontId="11" fillId="0" borderId="63" xfId="0" applyFont="1" applyFill="1" applyBorder="1" applyAlignment="1">
      <alignment horizontal="right"/>
    </xf>
    <xf numFmtId="0" fontId="11" fillId="0" borderId="21" xfId="0" applyFont="1" applyFill="1" applyBorder="1"/>
    <xf numFmtId="9" fontId="0" fillId="0" borderId="0" xfId="0" applyNumberFormat="1" applyFill="1"/>
    <xf numFmtId="0" fontId="11" fillId="0" borderId="65" xfId="0" applyFont="1" applyFill="1" applyBorder="1"/>
    <xf numFmtId="9" fontId="11" fillId="0" borderId="13" xfId="26" applyFont="1" applyFill="1" applyBorder="1"/>
    <xf numFmtId="0" fontId="21" fillId="0" borderId="0" xfId="0" applyFont="1" applyAlignment="1">
      <alignment horizontal="center"/>
    </xf>
    <xf numFmtId="0" fontId="34" fillId="5" borderId="68" xfId="0" applyFont="1" applyFill="1" applyBorder="1"/>
    <xf numFmtId="0" fontId="43" fillId="5" borderId="5" xfId="0" applyFont="1" applyFill="1" applyBorder="1"/>
    <xf numFmtId="0" fontId="34" fillId="5" borderId="52" xfId="0" applyFont="1" applyFill="1" applyBorder="1"/>
    <xf numFmtId="0" fontId="34" fillId="5" borderId="43" xfId="0" applyFont="1" applyFill="1" applyBorder="1"/>
    <xf numFmtId="0" fontId="43" fillId="0" borderId="68" xfId="9" applyFont="1" applyBorder="1"/>
    <xf numFmtId="0" fontId="43" fillId="0" borderId="5" xfId="9" applyFont="1" applyBorder="1"/>
    <xf numFmtId="164" fontId="34" fillId="0" borderId="52" xfId="14" applyNumberFormat="1" applyFont="1" applyBorder="1" applyAlignment="1">
      <alignment horizontal="right"/>
    </xf>
    <xf numFmtId="164" fontId="34" fillId="0" borderId="51" xfId="14" applyNumberFormat="1" applyFont="1" applyBorder="1" applyAlignment="1">
      <alignment horizontal="right"/>
    </xf>
    <xf numFmtId="164" fontId="34" fillId="0" borderId="43" xfId="14" applyNumberFormat="1" applyFont="1" applyBorder="1" applyAlignment="1">
      <alignment horizontal="right"/>
    </xf>
    <xf numFmtId="0" fontId="43" fillId="0" borderId="68" xfId="9" quotePrefix="1" applyFont="1" applyBorder="1" applyAlignment="1">
      <alignment horizontal="left"/>
    </xf>
    <xf numFmtId="0" fontId="43" fillId="0" borderId="68" xfId="9" applyFont="1" applyBorder="1" applyAlignment="1">
      <alignment horizontal="right"/>
    </xf>
    <xf numFmtId="0" fontId="43" fillId="0" borderId="68" xfId="9" applyFont="1" applyBorder="1" applyAlignment="1">
      <alignment horizontal="left"/>
    </xf>
    <xf numFmtId="0" fontId="43" fillId="0" borderId="68" xfId="9" applyFont="1" applyBorder="1" applyAlignment="1">
      <alignment wrapText="1"/>
    </xf>
    <xf numFmtId="0" fontId="34" fillId="0" borderId="69" xfId="9" applyFont="1" applyBorder="1" applyAlignment="1">
      <alignment horizontal="right"/>
    </xf>
    <xf numFmtId="0" fontId="34" fillId="0" borderId="70" xfId="9" applyFont="1" applyBorder="1"/>
    <xf numFmtId="0" fontId="34" fillId="5" borderId="66" xfId="0" applyFont="1" applyFill="1" applyBorder="1"/>
    <xf numFmtId="0" fontId="43" fillId="5" borderId="3" xfId="0" applyFont="1" applyFill="1" applyBorder="1"/>
    <xf numFmtId="0" fontId="34" fillId="5" borderId="51" xfId="0" applyFont="1" applyFill="1" applyBorder="1"/>
    <xf numFmtId="0" fontId="43" fillId="5" borderId="2" xfId="0" applyFont="1" applyFill="1" applyBorder="1"/>
    <xf numFmtId="0" fontId="34" fillId="5" borderId="55" xfId="0" applyFont="1" applyFill="1" applyBorder="1"/>
    <xf numFmtId="164" fontId="34" fillId="0" borderId="71" xfId="14" applyNumberFormat="1" applyFont="1" applyBorder="1" applyAlignment="1">
      <alignment horizontal="right"/>
    </xf>
    <xf numFmtId="164" fontId="34" fillId="0" borderId="72" xfId="14" applyNumberFormat="1" applyFont="1" applyBorder="1" applyAlignment="1">
      <alignment horizontal="right"/>
    </xf>
    <xf numFmtId="0" fontId="43" fillId="0" borderId="4" xfId="9" applyFont="1" applyBorder="1" applyAlignment="1">
      <alignment horizontal="right"/>
    </xf>
    <xf numFmtId="0" fontId="43" fillId="0" borderId="5" xfId="9" applyFont="1" applyBorder="1" applyAlignment="1">
      <alignment horizontal="right"/>
    </xf>
    <xf numFmtId="0" fontId="22" fillId="0" borderId="0" xfId="9" applyFont="1" applyBorder="1"/>
    <xf numFmtId="0" fontId="22" fillId="0" borderId="0" xfId="9" applyFont="1"/>
    <xf numFmtId="0" fontId="37" fillId="0" borderId="0" xfId="9" applyFont="1"/>
    <xf numFmtId="0" fontId="11" fillId="0" borderId="43" xfId="14" applyFont="1" applyBorder="1" applyAlignment="1">
      <alignment horizontal="centerContinuous" vertical="center" wrapText="1"/>
    </xf>
    <xf numFmtId="0" fontId="11" fillId="5" borderId="59" xfId="14" applyFont="1" applyFill="1" applyBorder="1"/>
    <xf numFmtId="9" fontId="6" fillId="5" borderId="43" xfId="14" applyNumberFormat="1" applyFont="1" applyFill="1" applyBorder="1"/>
    <xf numFmtId="0" fontId="1" fillId="2" borderId="59" xfId="14" applyFont="1" applyFill="1" applyBorder="1"/>
    <xf numFmtId="164" fontId="11" fillId="0" borderId="43" xfId="14" applyNumberFormat="1" applyFont="1" applyBorder="1" applyAlignment="1">
      <alignment horizontal="right"/>
    </xf>
    <xf numFmtId="0" fontId="1" fillId="2" borderId="59" xfId="14" applyFont="1" applyFill="1" applyBorder="1" applyAlignment="1"/>
    <xf numFmtId="0" fontId="1" fillId="0" borderId="0" xfId="14" applyFont="1" applyAlignment="1"/>
    <xf numFmtId="0" fontId="37" fillId="2" borderId="73" xfId="14" applyFont="1" applyFill="1" applyBorder="1" applyAlignment="1">
      <alignment horizontal="right"/>
    </xf>
    <xf numFmtId="165" fontId="37" fillId="0" borderId="33" xfId="14" applyNumberFormat="1" applyFont="1" applyBorder="1"/>
    <xf numFmtId="165" fontId="37" fillId="0" borderId="74" xfId="14" applyNumberFormat="1" applyFont="1" applyBorder="1"/>
    <xf numFmtId="164" fontId="37" fillId="0" borderId="29" xfId="14" applyNumberFormat="1" applyFont="1" applyBorder="1" applyAlignment="1">
      <alignment horizontal="right"/>
    </xf>
    <xf numFmtId="164" fontId="37" fillId="0" borderId="75" xfId="14" applyNumberFormat="1" applyFont="1" applyBorder="1" applyAlignment="1">
      <alignment horizontal="right"/>
    </xf>
    <xf numFmtId="0" fontId="37" fillId="0" borderId="0" xfId="14" applyFont="1"/>
    <xf numFmtId="0" fontId="11" fillId="5" borderId="76" xfId="14" applyFont="1" applyFill="1" applyBorder="1"/>
    <xf numFmtId="1" fontId="6" fillId="5" borderId="3" xfId="14" applyNumberFormat="1" applyFont="1" applyFill="1" applyBorder="1"/>
    <xf numFmtId="9" fontId="6" fillId="5" borderId="3" xfId="14" applyNumberFormat="1" applyFont="1" applyFill="1" applyBorder="1"/>
    <xf numFmtId="0" fontId="1" fillId="2" borderId="76" xfId="14" applyFont="1" applyFill="1" applyBorder="1"/>
    <xf numFmtId="165" fontId="6" fillId="0" borderId="2" xfId="14" applyNumberFormat="1" applyFont="1" applyBorder="1"/>
    <xf numFmtId="165" fontId="6" fillId="0" borderId="3" xfId="14" applyNumberFormat="1" applyFont="1" applyBorder="1"/>
    <xf numFmtId="164" fontId="11" fillId="0" borderId="51" xfId="14" applyNumberFormat="1" applyFont="1" applyBorder="1" applyAlignment="1">
      <alignment horizontal="right"/>
    </xf>
    <xf numFmtId="164" fontId="11" fillId="0" borderId="55" xfId="14" applyNumberFormat="1" applyFont="1" applyBorder="1" applyAlignment="1">
      <alignment horizontal="right"/>
    </xf>
    <xf numFmtId="0" fontId="37" fillId="2" borderId="76" xfId="14" applyFont="1" applyFill="1" applyBorder="1" applyAlignment="1">
      <alignment horizontal="right"/>
    </xf>
    <xf numFmtId="165" fontId="37" fillId="0" borderId="2" xfId="14" applyNumberFormat="1" applyFont="1" applyBorder="1"/>
    <xf numFmtId="165" fontId="37" fillId="0" borderId="3" xfId="14" applyNumberFormat="1" applyFont="1" applyBorder="1"/>
    <xf numFmtId="165" fontId="37" fillId="0" borderId="51" xfId="14" applyNumberFormat="1" applyFont="1" applyBorder="1"/>
    <xf numFmtId="164" fontId="37" fillId="0" borderId="51" xfId="14" applyNumberFormat="1" applyFont="1" applyBorder="1" applyAlignment="1">
      <alignment horizontal="right"/>
    </xf>
    <xf numFmtId="164" fontId="37" fillId="0" borderId="55" xfId="14" applyNumberFormat="1" applyFont="1" applyBorder="1" applyAlignment="1">
      <alignment horizontal="right"/>
    </xf>
    <xf numFmtId="0" fontId="23" fillId="2" borderId="77" xfId="14" applyFont="1" applyFill="1" applyBorder="1" applyAlignment="1">
      <alignment horizontal="right"/>
    </xf>
    <xf numFmtId="165" fontId="23" fillId="0" borderId="78" xfId="14" applyNumberFormat="1" applyFont="1" applyBorder="1"/>
    <xf numFmtId="165" fontId="23" fillId="0" borderId="79" xfId="14" applyNumberFormat="1" applyFont="1" applyBorder="1"/>
    <xf numFmtId="165" fontId="23" fillId="0" borderId="80" xfId="14" applyNumberFormat="1" applyFont="1" applyBorder="1"/>
    <xf numFmtId="164" fontId="23" fillId="0" borderId="80" xfId="14" applyNumberFormat="1" applyFont="1" applyBorder="1" applyAlignment="1">
      <alignment horizontal="right"/>
    </xf>
    <xf numFmtId="164" fontId="23" fillId="0" borderId="81" xfId="14" applyNumberFormat="1" applyFont="1" applyBorder="1" applyAlignment="1">
      <alignment horizontal="right"/>
    </xf>
    <xf numFmtId="0" fontId="10" fillId="0" borderId="0" xfId="14" applyFont="1"/>
    <xf numFmtId="0" fontId="1" fillId="2" borderId="0" xfId="14" applyFont="1" applyFill="1" applyBorder="1"/>
    <xf numFmtId="164" fontId="11" fillId="0" borderId="0" xfId="14" applyNumberFormat="1" applyFont="1" applyBorder="1" applyAlignment="1">
      <alignment horizontal="right"/>
    </xf>
    <xf numFmtId="9" fontId="6" fillId="5" borderId="55" xfId="14" applyNumberFormat="1" applyFont="1" applyFill="1" applyBorder="1"/>
    <xf numFmtId="164" fontId="11" fillId="0" borderId="56" xfId="14" applyNumberFormat="1" applyFont="1" applyBorder="1" applyAlignment="1">
      <alignment horizontal="right"/>
    </xf>
    <xf numFmtId="44" fontId="1" fillId="0" borderId="0" xfId="2" applyFont="1"/>
    <xf numFmtId="164" fontId="11" fillId="0" borderId="52" xfId="14" applyNumberFormat="1" applyFont="1" applyBorder="1" applyAlignment="1">
      <alignment horizontal="right"/>
    </xf>
    <xf numFmtId="0" fontId="1" fillId="2" borderId="73" xfId="14" applyFont="1" applyFill="1" applyBorder="1"/>
    <xf numFmtId="0" fontId="1" fillId="2" borderId="0" xfId="14" applyFont="1" applyFill="1" applyBorder="1" applyAlignment="1">
      <alignment horizontal="right"/>
    </xf>
    <xf numFmtId="1" fontId="6" fillId="5" borderId="2" xfId="14" applyNumberFormat="1" applyFont="1" applyFill="1" applyBorder="1"/>
    <xf numFmtId="9" fontId="6" fillId="5" borderId="2" xfId="14" applyNumberFormat="1" applyFont="1" applyFill="1" applyBorder="1"/>
    <xf numFmtId="9" fontId="6" fillId="5" borderId="18" xfId="14" applyNumberFormat="1" applyFont="1" applyFill="1" applyBorder="1"/>
    <xf numFmtId="9" fontId="6" fillId="5" borderId="67" xfId="14" applyNumberFormat="1" applyFont="1" applyFill="1" applyBorder="1"/>
    <xf numFmtId="0" fontId="1" fillId="0" borderId="37" xfId="14" applyFont="1" applyBorder="1"/>
    <xf numFmtId="0" fontId="6" fillId="0" borderId="37" xfId="14" applyFont="1" applyBorder="1"/>
    <xf numFmtId="165" fontId="37" fillId="0" borderId="5" xfId="14" applyNumberFormat="1" applyFont="1" applyBorder="1"/>
    <xf numFmtId="165" fontId="37" fillId="0" borderId="52" xfId="14" applyNumberFormat="1" applyFont="1" applyBorder="1"/>
    <xf numFmtId="164" fontId="37" fillId="0" borderId="7" xfId="14" applyNumberFormat="1" applyFont="1" applyBorder="1" applyAlignment="1">
      <alignment horizontal="right"/>
    </xf>
    <xf numFmtId="164" fontId="37" fillId="0" borderId="43" xfId="14" applyNumberFormat="1" applyFont="1" applyBorder="1" applyAlignment="1">
      <alignment horizontal="right"/>
    </xf>
    <xf numFmtId="0" fontId="37" fillId="2" borderId="59" xfId="14" applyFont="1" applyFill="1" applyBorder="1" applyAlignment="1">
      <alignment horizontal="right"/>
    </xf>
    <xf numFmtId="164" fontId="11" fillId="0" borderId="18" xfId="14" applyNumberFormat="1" applyFont="1" applyBorder="1" applyAlignment="1">
      <alignment horizontal="right"/>
    </xf>
    <xf numFmtId="0" fontId="0" fillId="5" borderId="3" xfId="0" applyFill="1" applyBorder="1"/>
    <xf numFmtId="0" fontId="0" fillId="5" borderId="51" xfId="0" applyFill="1" applyBorder="1"/>
    <xf numFmtId="0" fontId="0" fillId="5" borderId="2" xfId="0" applyFill="1" applyBorder="1"/>
    <xf numFmtId="0" fontId="0" fillId="5" borderId="55" xfId="0" applyFill="1" applyBorder="1"/>
    <xf numFmtId="0" fontId="11" fillId="5" borderId="82" xfId="14" applyFont="1" applyFill="1" applyBorder="1"/>
    <xf numFmtId="1" fontId="6" fillId="5" borderId="83" xfId="14" applyNumberFormat="1" applyFont="1" applyFill="1" applyBorder="1"/>
    <xf numFmtId="9" fontId="6" fillId="5" borderId="83" xfId="14" applyNumberFormat="1" applyFont="1" applyFill="1" applyBorder="1"/>
    <xf numFmtId="9" fontId="6" fillId="5" borderId="84" xfId="14" applyNumberFormat="1" applyFont="1" applyFill="1" applyBorder="1"/>
    <xf numFmtId="9" fontId="6" fillId="5" borderId="85" xfId="14" applyNumberFormat="1" applyFont="1" applyFill="1" applyBorder="1"/>
    <xf numFmtId="9" fontId="6" fillId="5" borderId="86" xfId="14" applyNumberFormat="1" applyFont="1" applyFill="1" applyBorder="1"/>
    <xf numFmtId="164" fontId="11" fillId="0" borderId="67" xfId="14" applyNumberFormat="1" applyFont="1" applyBorder="1" applyAlignment="1">
      <alignment horizontal="right"/>
    </xf>
    <xf numFmtId="0" fontId="37" fillId="2" borderId="87" xfId="14" applyFont="1" applyFill="1" applyBorder="1" applyAlignment="1">
      <alignment horizontal="right"/>
    </xf>
    <xf numFmtId="165" fontId="37" fillId="0" borderId="70" xfId="14" applyNumberFormat="1" applyFont="1" applyBorder="1"/>
    <xf numFmtId="165" fontId="37" fillId="0" borderId="71" xfId="14" applyNumberFormat="1" applyFont="1" applyBorder="1"/>
    <xf numFmtId="164" fontId="37" fillId="0" borderId="88" xfId="14" applyNumberFormat="1" applyFont="1" applyBorder="1" applyAlignment="1">
      <alignment horizontal="right"/>
    </xf>
    <xf numFmtId="164" fontId="37" fillId="0" borderId="72" xfId="14" applyNumberFormat="1" applyFont="1" applyBorder="1" applyAlignment="1">
      <alignment horizontal="right"/>
    </xf>
    <xf numFmtId="0" fontId="37" fillId="2" borderId="0" xfId="14" applyFont="1" applyFill="1" applyBorder="1" applyAlignment="1">
      <alignment horizontal="right"/>
    </xf>
    <xf numFmtId="165" fontId="37" fillId="0" borderId="0" xfId="14" applyNumberFormat="1" applyFont="1" applyBorder="1"/>
    <xf numFmtId="164" fontId="37" fillId="0" borderId="0" xfId="14" applyNumberFormat="1" applyFont="1" applyBorder="1" applyAlignment="1">
      <alignment horizontal="right"/>
    </xf>
    <xf numFmtId="0" fontId="34" fillId="5" borderId="89" xfId="14" applyFont="1" applyFill="1" applyBorder="1"/>
    <xf numFmtId="165" fontId="34" fillId="5" borderId="90" xfId="14" applyNumberFormat="1" applyFont="1" applyFill="1" applyBorder="1"/>
    <xf numFmtId="164" fontId="34" fillId="5" borderId="91" xfId="14" applyNumberFormat="1" applyFont="1" applyFill="1" applyBorder="1" applyAlignment="1">
      <alignment horizontal="right"/>
    </xf>
    <xf numFmtId="0" fontId="43" fillId="0" borderId="0" xfId="14" applyFont="1"/>
    <xf numFmtId="0" fontId="11" fillId="5" borderId="76" xfId="0" applyFont="1" applyFill="1" applyBorder="1"/>
    <xf numFmtId="0" fontId="37" fillId="2" borderId="92" xfId="14" applyFont="1" applyFill="1" applyBorder="1" applyAlignment="1">
      <alignment horizontal="right"/>
    </xf>
    <xf numFmtId="164" fontId="23" fillId="0" borderId="93" xfId="14" applyNumberFormat="1" applyFont="1" applyBorder="1" applyAlignment="1">
      <alignment horizontal="right"/>
    </xf>
    <xf numFmtId="164" fontId="23" fillId="0" borderId="94" xfId="14" applyNumberFormat="1" applyFont="1" applyBorder="1" applyAlignment="1">
      <alignment horizontal="right"/>
    </xf>
    <xf numFmtId="165" fontId="34" fillId="5" borderId="96" xfId="14" applyNumberFormat="1" applyFont="1" applyFill="1" applyBorder="1"/>
    <xf numFmtId="164" fontId="11" fillId="0" borderId="98" xfId="14" applyNumberFormat="1" applyFont="1" applyBorder="1" applyAlignment="1">
      <alignment horizontal="right"/>
    </xf>
    <xf numFmtId="165" fontId="6" fillId="0" borderId="0" xfId="17" applyNumberFormat="1" applyFont="1" applyBorder="1"/>
    <xf numFmtId="164" fontId="34" fillId="0" borderId="81" xfId="14" applyNumberFormat="1" applyFont="1" applyBorder="1" applyAlignment="1">
      <alignment horizontal="right"/>
    </xf>
    <xf numFmtId="0" fontId="8" fillId="5" borderId="69" xfId="0" applyFont="1" applyFill="1" applyBorder="1"/>
    <xf numFmtId="0" fontId="8" fillId="5" borderId="70" xfId="0" applyFont="1" applyFill="1" applyBorder="1"/>
    <xf numFmtId="164" fontId="8" fillId="5" borderId="71" xfId="0" applyNumberFormat="1" applyFont="1" applyFill="1" applyBorder="1"/>
    <xf numFmtId="164" fontId="8" fillId="5" borderId="72" xfId="0" applyNumberFormat="1" applyFont="1" applyFill="1" applyBorder="1"/>
    <xf numFmtId="0" fontId="11" fillId="5" borderId="3" xfId="23" applyFont="1" applyFill="1" applyBorder="1" applyAlignment="1">
      <alignment horizontal="centerContinuous" vertical="center" wrapText="1"/>
    </xf>
    <xf numFmtId="164" fontId="11" fillId="5" borderId="3" xfId="23" applyNumberFormat="1" applyFont="1" applyFill="1" applyBorder="1" applyAlignment="1">
      <alignment horizontal="centerContinuous" vertical="center" wrapText="1"/>
    </xf>
    <xf numFmtId="164" fontId="11" fillId="5" borderId="30" xfId="23" applyNumberFormat="1" applyFont="1" applyFill="1" applyBorder="1" applyAlignment="1">
      <alignment horizontal="centerContinuous" vertical="center" wrapText="1"/>
    </xf>
    <xf numFmtId="0" fontId="16" fillId="5" borderId="1" xfId="23" applyFont="1" applyFill="1" applyBorder="1" applyAlignment="1">
      <alignment horizontal="centerContinuous" vertical="center" wrapText="1"/>
    </xf>
    <xf numFmtId="164" fontId="6" fillId="0" borderId="30" xfId="23" applyNumberFormat="1" applyFont="1" applyBorder="1" applyAlignment="1">
      <alignment horizontal="right"/>
    </xf>
    <xf numFmtId="0" fontId="6" fillId="0" borderId="1" xfId="23" applyFont="1" applyBorder="1" applyAlignment="1">
      <alignment horizontal="right"/>
    </xf>
    <xf numFmtId="0" fontId="6" fillId="0" borderId="3" xfId="23" applyFont="1" applyBorder="1"/>
    <xf numFmtId="164" fontId="6" fillId="0" borderId="3" xfId="23" applyNumberFormat="1" applyFont="1" applyBorder="1"/>
    <xf numFmtId="0" fontId="6" fillId="0" borderId="1" xfId="23" applyFont="1" applyBorder="1"/>
    <xf numFmtId="0" fontId="6" fillId="0" borderId="7" xfId="0" applyFont="1" applyBorder="1" applyAlignment="1">
      <alignment horizontal="centerContinuous" wrapText="1"/>
    </xf>
    <xf numFmtId="1" fontId="11" fillId="5" borderId="2" xfId="0" applyNumberFormat="1" applyFont="1" applyFill="1" applyBorder="1" applyAlignment="1">
      <alignment horizontal="centerContinuous" vertical="center"/>
    </xf>
    <xf numFmtId="1" fontId="11" fillId="0" borderId="2" xfId="0" applyNumberFormat="1" applyFont="1" applyBorder="1"/>
    <xf numFmtId="1" fontId="11" fillId="5" borderId="2" xfId="0" applyNumberFormat="1" applyFont="1" applyFill="1" applyBorder="1" applyAlignment="1">
      <alignment horizontal="right" vertical="center"/>
    </xf>
    <xf numFmtId="1" fontId="11" fillId="5" borderId="24" xfId="0" applyNumberFormat="1" applyFont="1" applyFill="1" applyBorder="1" applyAlignment="1">
      <alignment horizontal="right" vertical="center"/>
    </xf>
    <xf numFmtId="0" fontId="6" fillId="0" borderId="59" xfId="14" applyFont="1" applyFill="1" applyBorder="1"/>
    <xf numFmtId="0" fontId="0" fillId="0" borderId="2" xfId="0" applyFill="1" applyBorder="1" applyAlignment="1">
      <alignment horizontal="center"/>
    </xf>
    <xf numFmtId="164" fontId="37" fillId="0" borderId="18" xfId="14" applyNumberFormat="1" applyFont="1" applyBorder="1" applyAlignment="1">
      <alignment horizontal="right"/>
    </xf>
    <xf numFmtId="0" fontId="43" fillId="0" borderId="3" xfId="13" applyFont="1" applyBorder="1"/>
    <xf numFmtId="0" fontId="34" fillId="0" borderId="33" xfId="9" applyFont="1" applyBorder="1"/>
    <xf numFmtId="0" fontId="34" fillId="0" borderId="5" xfId="13" applyFont="1" applyBorder="1" applyAlignment="1">
      <alignment horizontal="center"/>
    </xf>
    <xf numFmtId="0" fontId="34" fillId="0" borderId="4" xfId="25" applyFont="1" applyBorder="1" applyAlignment="1">
      <alignment horizontal="center"/>
    </xf>
    <xf numFmtId="0" fontId="34" fillId="0" borderId="5" xfId="25" applyFont="1" applyBorder="1" applyAlignment="1">
      <alignment horizontal="center"/>
    </xf>
    <xf numFmtId="0" fontId="43" fillId="2" borderId="3" xfId="13" applyFont="1" applyFill="1" applyBorder="1"/>
    <xf numFmtId="0" fontId="34" fillId="0" borderId="35" xfId="25" applyFont="1" applyBorder="1"/>
    <xf numFmtId="0" fontId="34" fillId="0" borderId="7" xfId="13" applyFont="1" applyBorder="1" applyAlignment="1">
      <alignment horizontal="center"/>
    </xf>
    <xf numFmtId="0" fontId="34" fillId="5" borderId="35" xfId="0" applyFont="1" applyFill="1" applyBorder="1"/>
    <xf numFmtId="0" fontId="43" fillId="0" borderId="35" xfId="9" applyFont="1" applyBorder="1"/>
    <xf numFmtId="0" fontId="43" fillId="0" borderId="35" xfId="9" applyFont="1" applyBorder="1" applyAlignment="1">
      <alignment horizontal="right"/>
    </xf>
    <xf numFmtId="0" fontId="43" fillId="0" borderId="35" xfId="9" applyFont="1" applyBorder="1" applyAlignment="1">
      <alignment wrapText="1"/>
    </xf>
    <xf numFmtId="0" fontId="43" fillId="0" borderId="35" xfId="9" applyFont="1" applyBorder="1" applyAlignment="1">
      <alignment horizontal="left"/>
    </xf>
    <xf numFmtId="0" fontId="34" fillId="0" borderId="99" xfId="9" applyFont="1" applyBorder="1" applyAlignment="1">
      <alignment horizontal="right"/>
    </xf>
    <xf numFmtId="0" fontId="34" fillId="5" borderId="45" xfId="0" applyFont="1" applyFill="1" applyBorder="1"/>
    <xf numFmtId="0" fontId="43" fillId="0" borderId="45" xfId="13" applyFont="1" applyBorder="1"/>
    <xf numFmtId="0" fontId="34" fillId="0" borderId="100" xfId="9" applyFont="1" applyBorder="1" applyAlignment="1">
      <alignment horizontal="right"/>
    </xf>
    <xf numFmtId="0" fontId="8" fillId="5" borderId="63" xfId="0" applyFont="1" applyFill="1" applyBorder="1"/>
    <xf numFmtId="0" fontId="8" fillId="5" borderId="64" xfId="0" applyFont="1" applyFill="1" applyBorder="1"/>
    <xf numFmtId="0" fontId="8" fillId="5" borderId="17" xfId="0" applyFont="1" applyFill="1" applyBorder="1"/>
    <xf numFmtId="0" fontId="34" fillId="0" borderId="101" xfId="9" applyFont="1" applyBorder="1" applyAlignment="1">
      <alignment horizontal="right"/>
    </xf>
    <xf numFmtId="0" fontId="34" fillId="0" borderId="24" xfId="9" applyFont="1" applyBorder="1"/>
    <xf numFmtId="0" fontId="38" fillId="0" borderId="0" xfId="0" applyFont="1" applyAlignment="1">
      <alignment horizontal="left"/>
    </xf>
    <xf numFmtId="0" fontId="37" fillId="0" borderId="0" xfId="14" applyFont="1" applyFill="1" applyBorder="1" applyAlignment="1">
      <alignment horizontal="right"/>
    </xf>
    <xf numFmtId="165" fontId="37" fillId="0" borderId="0" xfId="14" applyNumberFormat="1" applyFont="1" applyFill="1" applyBorder="1"/>
    <xf numFmtId="164" fontId="37" fillId="0" borderId="0" xfId="14" applyNumberFormat="1" applyFont="1" applyFill="1" applyBorder="1" applyAlignment="1">
      <alignment horizontal="right"/>
    </xf>
    <xf numFmtId="0" fontId="1" fillId="0" borderId="0" xfId="14" applyFont="1" applyFill="1" applyBorder="1" applyAlignment="1">
      <alignment horizontal="right"/>
    </xf>
    <xf numFmtId="165" fontId="6" fillId="0" borderId="0" xfId="14" applyNumberFormat="1" applyFont="1" applyFill="1" applyBorder="1"/>
    <xf numFmtId="164" fontId="11" fillId="0" borderId="0" xfId="14" applyNumberFormat="1" applyFont="1" applyFill="1" applyBorder="1" applyAlignment="1">
      <alignment horizontal="right"/>
    </xf>
    <xf numFmtId="0" fontId="6" fillId="0" borderId="0" xfId="14" applyFont="1" applyFill="1" applyBorder="1"/>
    <xf numFmtId="165" fontId="6" fillId="0" borderId="0" xfId="14" applyNumberFormat="1" applyFont="1" applyFill="1"/>
    <xf numFmtId="1" fontId="6" fillId="0" borderId="0" xfId="14" applyNumberFormat="1" applyFont="1" applyFill="1"/>
    <xf numFmtId="0" fontId="43" fillId="0" borderId="5" xfId="0" applyFont="1" applyFill="1" applyBorder="1"/>
    <xf numFmtId="0" fontId="34" fillId="0" borderId="5" xfId="25" applyFont="1" applyBorder="1"/>
    <xf numFmtId="0" fontId="42" fillId="8" borderId="5" xfId="25" applyFont="1" applyFill="1" applyBorder="1" applyAlignment="1">
      <alignment horizontal="center"/>
    </xf>
    <xf numFmtId="0" fontId="34" fillId="5" borderId="5" xfId="0" applyFont="1" applyFill="1" applyBorder="1"/>
    <xf numFmtId="0" fontId="7" fillId="5" borderId="5" xfId="0" applyFont="1" applyFill="1" applyBorder="1"/>
    <xf numFmtId="0" fontId="8" fillId="0" borderId="5" xfId="9" applyFont="1" applyBorder="1"/>
    <xf numFmtId="0" fontId="43" fillId="0" borderId="35" xfId="9" quotePrefix="1" applyFont="1" applyBorder="1" applyAlignment="1">
      <alignment horizontal="left"/>
    </xf>
    <xf numFmtId="0" fontId="8" fillId="5" borderId="5" xfId="0" applyFont="1" applyFill="1" applyBorder="1"/>
    <xf numFmtId="0" fontId="8" fillId="0" borderId="24" xfId="9" applyFont="1" applyBorder="1"/>
    <xf numFmtId="0" fontId="1" fillId="0" borderId="0" xfId="14" applyFont="1" applyFill="1" applyBorder="1" applyAlignment="1">
      <alignment horizontal="left"/>
    </xf>
    <xf numFmtId="0" fontId="34" fillId="5" borderId="2" xfId="0" applyFont="1" applyFill="1" applyBorder="1"/>
    <xf numFmtId="0" fontId="7" fillId="5" borderId="3" xfId="0" applyFont="1" applyFill="1" applyBorder="1"/>
    <xf numFmtId="0" fontId="7" fillId="5" borderId="2" xfId="0" applyFont="1" applyFill="1" applyBorder="1"/>
    <xf numFmtId="0" fontId="44" fillId="8" borderId="5" xfId="13" applyFont="1" applyFill="1" applyBorder="1" applyAlignment="1">
      <alignment horizontal="center"/>
    </xf>
    <xf numFmtId="0" fontId="43" fillId="0" borderId="3" xfId="9" applyFont="1" applyBorder="1"/>
    <xf numFmtId="0" fontId="34" fillId="0" borderId="3" xfId="13" applyFont="1" applyBorder="1"/>
    <xf numFmtId="0" fontId="34" fillId="0" borderId="51" xfId="13" applyFont="1" applyBorder="1"/>
    <xf numFmtId="0" fontId="43" fillId="0" borderId="3" xfId="9" applyFont="1" applyBorder="1" applyAlignment="1">
      <alignment horizontal="right"/>
    </xf>
    <xf numFmtId="0" fontId="43" fillId="0" borderId="3" xfId="0" applyFont="1" applyFill="1" applyBorder="1"/>
    <xf numFmtId="0" fontId="34" fillId="0" borderId="15" xfId="13" applyFont="1" applyBorder="1"/>
    <xf numFmtId="0" fontId="34" fillId="0" borderId="102" xfId="13" applyFont="1" applyBorder="1"/>
    <xf numFmtId="0" fontId="34" fillId="0" borderId="15" xfId="9" applyFont="1" applyBorder="1"/>
    <xf numFmtId="0" fontId="34" fillId="0" borderId="16" xfId="13" applyFont="1" applyBorder="1"/>
    <xf numFmtId="0" fontId="34" fillId="0" borderId="38" xfId="13" applyFont="1" applyBorder="1"/>
    <xf numFmtId="0" fontId="34" fillId="0" borderId="47" xfId="13" applyFont="1" applyBorder="1"/>
    <xf numFmtId="0" fontId="34" fillId="0" borderId="36" xfId="9" applyFont="1" applyBorder="1"/>
    <xf numFmtId="0" fontId="34" fillId="0" borderId="29" xfId="13" applyFont="1" applyBorder="1"/>
    <xf numFmtId="0" fontId="1" fillId="0" borderId="0" xfId="14" applyFont="1" applyAlignment="1">
      <alignment horizontal="left"/>
    </xf>
    <xf numFmtId="0" fontId="11" fillId="0" borderId="52" xfId="14" applyFont="1" applyBorder="1" applyAlignment="1">
      <alignment horizontal="centerContinuous" vertical="center" wrapText="1"/>
    </xf>
    <xf numFmtId="164" fontId="37" fillId="0" borderId="74" xfId="14" applyNumberFormat="1" applyFont="1" applyBorder="1" applyAlignment="1">
      <alignment horizontal="right"/>
    </xf>
    <xf numFmtId="164" fontId="37" fillId="0" borderId="52" xfId="14" applyNumberFormat="1" applyFont="1" applyBorder="1" applyAlignment="1">
      <alignment horizontal="right"/>
    </xf>
    <xf numFmtId="164" fontId="37" fillId="0" borderId="71" xfId="14" applyNumberFormat="1" applyFont="1" applyBorder="1" applyAlignment="1">
      <alignment horizontal="right"/>
    </xf>
    <xf numFmtId="0" fontId="34" fillId="5" borderId="7" xfId="0" applyFont="1" applyFill="1" applyBorder="1"/>
    <xf numFmtId="164" fontId="34" fillId="0" borderId="7" xfId="14" applyNumberFormat="1" applyFont="1" applyBorder="1" applyAlignment="1">
      <alignment horizontal="right"/>
    </xf>
    <xf numFmtId="164" fontId="34" fillId="0" borderId="80" xfId="14" applyNumberFormat="1" applyFont="1" applyBorder="1" applyAlignment="1">
      <alignment horizontal="right"/>
    </xf>
    <xf numFmtId="164" fontId="34" fillId="0" borderId="88" xfId="14" applyNumberFormat="1" applyFont="1" applyBorder="1" applyAlignment="1">
      <alignment horizontal="right"/>
    </xf>
    <xf numFmtId="164" fontId="8" fillId="5" borderId="88" xfId="0" applyNumberFormat="1" applyFont="1" applyFill="1" applyBorder="1"/>
    <xf numFmtId="0" fontId="6" fillId="0" borderId="0" xfId="17" applyFont="1" applyBorder="1" applyAlignment="1">
      <alignment horizontal="center"/>
    </xf>
    <xf numFmtId="0" fontId="11" fillId="0" borderId="66" xfId="15" applyFont="1" applyBorder="1"/>
    <xf numFmtId="0" fontId="11" fillId="0" borderId="3" xfId="14" applyFont="1" applyBorder="1" applyAlignment="1">
      <alignment horizontal="centerContinuous" vertical="center" wrapText="1"/>
    </xf>
    <xf numFmtId="0" fontId="11" fillId="0" borderId="55" xfId="14" applyFont="1" applyBorder="1" applyAlignment="1">
      <alignment horizontal="centerContinuous" vertical="center" wrapText="1"/>
    </xf>
    <xf numFmtId="0" fontId="11" fillId="5" borderId="42" xfId="9" applyFont="1" applyFill="1" applyBorder="1" applyAlignment="1">
      <alignment horizontal="center"/>
    </xf>
    <xf numFmtId="0" fontId="34" fillId="5" borderId="56" xfId="0" applyFont="1" applyFill="1" applyBorder="1"/>
    <xf numFmtId="164" fontId="34" fillId="0" borderId="56" xfId="14" applyNumberFormat="1" applyFont="1" applyBorder="1" applyAlignment="1">
      <alignment horizontal="right"/>
    </xf>
    <xf numFmtId="165" fontId="6" fillId="0" borderId="7" xfId="14" applyNumberFormat="1" applyFont="1" applyBorder="1"/>
    <xf numFmtId="165" fontId="37" fillId="0" borderId="22" xfId="14" applyNumberFormat="1" applyFont="1" applyBorder="1"/>
    <xf numFmtId="165" fontId="23" fillId="0" borderId="93" xfId="14" applyNumberFormat="1" applyFont="1" applyBorder="1"/>
    <xf numFmtId="165" fontId="37" fillId="0" borderId="7" xfId="14" applyNumberFormat="1" applyFont="1" applyBorder="1"/>
    <xf numFmtId="165" fontId="6" fillId="0" borderId="18" xfId="14" applyNumberFormat="1" applyFont="1" applyBorder="1"/>
    <xf numFmtId="0" fontId="11" fillId="0" borderId="7" xfId="14" applyFont="1" applyBorder="1" applyAlignment="1">
      <alignment horizontal="centerContinuous" vertical="center" wrapText="1"/>
    </xf>
    <xf numFmtId="164" fontId="37" fillId="0" borderId="22" xfId="14" applyNumberFormat="1" applyFont="1" applyBorder="1" applyAlignment="1">
      <alignment horizontal="right"/>
    </xf>
    <xf numFmtId="165" fontId="1" fillId="0" borderId="0" xfId="14" applyNumberFormat="1" applyFont="1" applyAlignment="1">
      <alignment horizontal="left"/>
    </xf>
    <xf numFmtId="165" fontId="6" fillId="5" borderId="5" xfId="14" applyNumberFormat="1" applyFont="1" applyFill="1" applyBorder="1"/>
    <xf numFmtId="0" fontId="45" fillId="0" borderId="0" xfId="3" applyFont="1" applyAlignment="1" applyProtection="1"/>
    <xf numFmtId="0" fontId="6" fillId="0" borderId="3" xfId="12" applyFont="1" applyBorder="1"/>
    <xf numFmtId="0" fontId="11" fillId="0" borderId="104" xfId="15" applyFont="1" applyBorder="1" applyAlignment="1">
      <alignment horizontal="centerContinuous"/>
    </xf>
    <xf numFmtId="0" fontId="18" fillId="5" borderId="68" xfId="15" applyFont="1" applyFill="1" applyBorder="1"/>
    <xf numFmtId="164" fontId="16" fillId="0" borderId="22" xfId="23" applyNumberFormat="1" applyFont="1" applyBorder="1" applyAlignment="1">
      <alignment horizontal="center" vertical="center" wrapText="1"/>
    </xf>
    <xf numFmtId="1" fontId="6" fillId="0" borderId="7" xfId="23" applyNumberFormat="1" applyFont="1" applyBorder="1" applyAlignment="1">
      <alignment horizontal="right"/>
    </xf>
    <xf numFmtId="0" fontId="0" fillId="0" borderId="0" xfId="0" applyBorder="1"/>
    <xf numFmtId="0" fontId="42" fillId="8" borderId="0" xfId="19" applyFont="1" applyFill="1"/>
    <xf numFmtId="2" fontId="11" fillId="0" borderId="33" xfId="19" applyNumberFormat="1" applyFont="1" applyFill="1" applyBorder="1"/>
    <xf numFmtId="0" fontId="34" fillId="0" borderId="105" xfId="9" applyFont="1" applyBorder="1" applyAlignment="1">
      <alignment horizontal="right"/>
    </xf>
    <xf numFmtId="0" fontId="34" fillId="0" borderId="78" xfId="9" applyFont="1" applyBorder="1"/>
    <xf numFmtId="164" fontId="34" fillId="0" borderId="78" xfId="26" applyNumberFormat="1" applyFont="1" applyBorder="1"/>
    <xf numFmtId="0" fontId="6" fillId="0" borderId="0" xfId="12" applyFont="1" applyFill="1"/>
    <xf numFmtId="0" fontId="11" fillId="0" borderId="3" xfId="12" applyFont="1" applyFill="1" applyBorder="1" applyAlignment="1">
      <alignment horizontal="center"/>
    </xf>
    <xf numFmtId="0" fontId="11" fillId="0" borderId="2" xfId="12" applyFont="1" applyFill="1" applyBorder="1" applyAlignment="1">
      <alignment horizontal="center"/>
    </xf>
    <xf numFmtId="0" fontId="6" fillId="0" borderId="4" xfId="12" applyFont="1" applyFill="1" applyBorder="1" applyAlignment="1">
      <alignment horizontal="left"/>
    </xf>
    <xf numFmtId="0" fontId="6" fillId="0" borderId="5" xfId="12" applyFont="1" applyFill="1" applyBorder="1" applyAlignment="1">
      <alignment horizontal="right"/>
    </xf>
    <xf numFmtId="0" fontId="6" fillId="0" borderId="4" xfId="12" applyFont="1" applyFill="1" applyBorder="1"/>
    <xf numFmtId="0" fontId="6" fillId="0" borderId="5" xfId="12" applyFont="1" applyFill="1" applyBorder="1"/>
    <xf numFmtId="0" fontId="11" fillId="0" borderId="4" xfId="12" applyFont="1" applyFill="1" applyBorder="1"/>
    <xf numFmtId="0" fontId="11" fillId="0" borderId="5" xfId="12" applyFont="1" applyFill="1" applyBorder="1"/>
    <xf numFmtId="167" fontId="1" fillId="0" borderId="18" xfId="1" applyNumberFormat="1" applyFont="1" applyFill="1" applyBorder="1"/>
    <xf numFmtId="0" fontId="11" fillId="0" borderId="3" xfId="17" applyFont="1" applyBorder="1"/>
    <xf numFmtId="0" fontId="11" fillId="5" borderId="3" xfId="17" applyFont="1" applyFill="1" applyBorder="1"/>
    <xf numFmtId="165" fontId="1" fillId="0" borderId="0" xfId="14" applyNumberFormat="1" applyFont="1"/>
    <xf numFmtId="0" fontId="11" fillId="0" borderId="43" xfId="14" applyFont="1" applyBorder="1" applyAlignment="1">
      <alignment horizontal="center" vertical="center" wrapText="1"/>
    </xf>
    <xf numFmtId="0" fontId="43" fillId="0" borderId="0" xfId="9" applyFont="1"/>
    <xf numFmtId="0" fontId="43" fillId="0" borderId="0" xfId="0" applyFont="1"/>
    <xf numFmtId="0" fontId="42" fillId="8" borderId="52" xfId="25" applyFont="1" applyFill="1" applyBorder="1" applyAlignment="1">
      <alignment horizontal="center"/>
    </xf>
    <xf numFmtId="0" fontId="42" fillId="8" borderId="54" xfId="25" applyFont="1" applyFill="1" applyBorder="1" applyAlignment="1">
      <alignment horizontal="center"/>
    </xf>
    <xf numFmtId="0" fontId="7" fillId="5" borderId="30" xfId="0" applyFont="1" applyFill="1" applyBorder="1"/>
    <xf numFmtId="0" fontId="8" fillId="0" borderId="54" xfId="9" applyFont="1" applyBorder="1"/>
    <xf numFmtId="0" fontId="8" fillId="5" borderId="54" xfId="0" applyFont="1" applyFill="1" applyBorder="1"/>
    <xf numFmtId="0" fontId="7" fillId="5" borderId="54" xfId="0" applyFont="1" applyFill="1" applyBorder="1"/>
    <xf numFmtId="0" fontId="8" fillId="0" borderId="102" xfId="9" applyFont="1" applyBorder="1"/>
    <xf numFmtId="0" fontId="34" fillId="0" borderId="33" xfId="25" applyFont="1" applyBorder="1" applyAlignment="1">
      <alignment horizontal="center"/>
    </xf>
    <xf numFmtId="0" fontId="42" fillId="8" borderId="74" xfId="25" applyFont="1" applyFill="1" applyBorder="1" applyAlignment="1">
      <alignment horizontal="center"/>
    </xf>
    <xf numFmtId="0" fontId="8" fillId="5" borderId="3" xfId="0" applyFont="1" applyFill="1" applyBorder="1"/>
    <xf numFmtId="0" fontId="8" fillId="0" borderId="3" xfId="9" applyFont="1" applyBorder="1"/>
    <xf numFmtId="0" fontId="43" fillId="5" borderId="4" xfId="0" applyFont="1" applyFill="1" applyBorder="1"/>
    <xf numFmtId="0" fontId="8" fillId="0" borderId="15" xfId="9" applyFont="1" applyBorder="1"/>
    <xf numFmtId="0" fontId="8" fillId="5" borderId="101" xfId="0" applyFont="1" applyFill="1" applyBorder="1"/>
    <xf numFmtId="0" fontId="8" fillId="5" borderId="24" xfId="0" applyFont="1" applyFill="1" applyBorder="1"/>
    <xf numFmtId="0" fontId="8" fillId="5" borderId="102" xfId="0" applyFont="1" applyFill="1" applyBorder="1"/>
    <xf numFmtId="0" fontId="8" fillId="5" borderId="15" xfId="0" applyFont="1" applyFill="1" applyBorder="1"/>
    <xf numFmtId="1" fontId="8" fillId="5" borderId="15" xfId="9" applyNumberFormat="1" applyFont="1" applyFill="1" applyBorder="1"/>
    <xf numFmtId="0" fontId="34" fillId="0" borderId="68" xfId="25" applyFont="1" applyBorder="1"/>
    <xf numFmtId="0" fontId="34" fillId="0" borderId="52" xfId="25" applyFont="1" applyBorder="1" applyAlignment="1">
      <alignment horizontal="center" wrapText="1"/>
    </xf>
    <xf numFmtId="0" fontId="34" fillId="0" borderId="7" xfId="25" applyFont="1" applyBorder="1" applyAlignment="1">
      <alignment horizontal="center" wrapText="1"/>
    </xf>
    <xf numFmtId="0" fontId="34" fillId="0" borderId="43" xfId="25" applyFont="1" applyBorder="1" applyAlignment="1">
      <alignment horizontal="center" wrapText="1"/>
    </xf>
    <xf numFmtId="0" fontId="34" fillId="0" borderId="61" xfId="13" applyFont="1" applyBorder="1" applyAlignment="1">
      <alignment horizontal="center"/>
    </xf>
    <xf numFmtId="0" fontId="43" fillId="0" borderId="4" xfId="9" applyFont="1" applyBorder="1"/>
    <xf numFmtId="0" fontId="34" fillId="0" borderId="21" xfId="9" applyFont="1" applyBorder="1"/>
    <xf numFmtId="0" fontId="34" fillId="0" borderId="106" xfId="9" applyFont="1" applyBorder="1"/>
    <xf numFmtId="0" fontId="8" fillId="5" borderId="21" xfId="0" applyFont="1" applyFill="1" applyBorder="1"/>
    <xf numFmtId="0" fontId="6" fillId="0" borderId="4" xfId="9" applyFont="1" applyFill="1" applyBorder="1"/>
    <xf numFmtId="0" fontId="6" fillId="0" borderId="5" xfId="9" applyFont="1" applyFill="1" applyBorder="1"/>
    <xf numFmtId="0" fontId="40" fillId="0" borderId="0" xfId="0" applyFont="1" applyAlignment="1">
      <alignment horizontal="center"/>
    </xf>
    <xf numFmtId="0" fontId="6" fillId="0" borderId="4" xfId="23" applyFont="1" applyBorder="1" applyAlignment="1">
      <alignment horizontal="right"/>
    </xf>
    <xf numFmtId="164" fontId="6" fillId="0" borderId="4" xfId="23" applyNumberFormat="1" applyFont="1" applyBorder="1" applyAlignment="1">
      <alignment horizontal="right"/>
    </xf>
    <xf numFmtId="0" fontId="6" fillId="0" borderId="6" xfId="23" applyFont="1" applyBorder="1" applyAlignment="1">
      <alignment horizontal="right"/>
    </xf>
    <xf numFmtId="0" fontId="6" fillId="0" borderId="21" xfId="23" applyFont="1" applyBorder="1" applyAlignment="1">
      <alignment horizontal="right"/>
    </xf>
    <xf numFmtId="164" fontId="6" fillId="0" borderId="21" xfId="23" applyNumberFormat="1" applyFont="1" applyBorder="1" applyAlignment="1">
      <alignment horizontal="right"/>
    </xf>
    <xf numFmtId="0" fontId="6" fillId="0" borderId="13" xfId="23" applyFont="1" applyBorder="1" applyAlignment="1">
      <alignment horizontal="right"/>
    </xf>
    <xf numFmtId="0" fontId="11" fillId="0" borderId="51" xfId="14" applyFont="1" applyBorder="1" applyAlignment="1">
      <alignment horizontal="centerContinuous" vertical="center" wrapText="1"/>
    </xf>
    <xf numFmtId="0" fontId="11" fillId="0" borderId="2" xfId="14" applyFont="1" applyBorder="1" applyAlignment="1">
      <alignment horizontal="centerContinuous" vertical="center" wrapText="1"/>
    </xf>
    <xf numFmtId="0" fontId="11" fillId="0" borderId="52" xfId="14" applyFont="1" applyBorder="1" applyAlignment="1">
      <alignment horizontal="center" vertical="center" wrapText="1"/>
    </xf>
    <xf numFmtId="0" fontId="11" fillId="0" borderId="62" xfId="14" applyFont="1" applyBorder="1" applyAlignment="1">
      <alignment horizontal="center" vertical="center" wrapText="1"/>
    </xf>
    <xf numFmtId="0" fontId="1" fillId="0" borderId="0" xfId="14" applyFont="1" applyBorder="1"/>
    <xf numFmtId="0" fontId="11" fillId="0" borderId="4" xfId="14" applyFont="1" applyBorder="1" applyAlignment="1">
      <alignment horizontal="center" vertical="center" wrapText="1"/>
    </xf>
    <xf numFmtId="165" fontId="6" fillId="0" borderId="45" xfId="14" applyNumberFormat="1" applyFont="1" applyBorder="1"/>
    <xf numFmtId="0" fontId="1" fillId="2" borderId="66" xfId="14" applyFont="1" applyFill="1" applyBorder="1"/>
    <xf numFmtId="0" fontId="6" fillId="5" borderId="4" xfId="12" applyFont="1" applyFill="1" applyBorder="1"/>
    <xf numFmtId="0" fontId="6" fillId="5" borderId="5" xfId="12" applyFont="1" applyFill="1" applyBorder="1"/>
    <xf numFmtId="0" fontId="11" fillId="5" borderId="4" xfId="12" applyFont="1" applyFill="1" applyBorder="1" applyAlignment="1">
      <alignment horizontal="center"/>
    </xf>
    <xf numFmtId="0" fontId="11" fillId="5" borderId="5" xfId="12" applyFont="1" applyFill="1" applyBorder="1" applyAlignment="1">
      <alignment horizontal="center"/>
    </xf>
    <xf numFmtId="0" fontId="43" fillId="4" borderId="5" xfId="0" applyFont="1" applyFill="1" applyBorder="1"/>
    <xf numFmtId="0" fontId="0" fillId="4" borderId="0" xfId="0" applyFill="1"/>
    <xf numFmtId="0" fontId="43" fillId="4" borderId="68" xfId="0" applyFont="1" applyFill="1" applyBorder="1"/>
    <xf numFmtId="0" fontId="43" fillId="0" borderId="5" xfId="9" applyFont="1" applyFill="1" applyBorder="1"/>
    <xf numFmtId="0" fontId="43" fillId="0" borderId="35" xfId="0" applyFont="1" applyFill="1" applyBorder="1"/>
    <xf numFmtId="0" fontId="11" fillId="0" borderId="58" xfId="15" applyFont="1" applyBorder="1" applyAlignment="1">
      <alignment horizontal="centerContinuous"/>
    </xf>
    <xf numFmtId="0" fontId="11" fillId="0" borderId="6" xfId="15" applyFont="1" applyBorder="1" applyAlignment="1">
      <alignment horizontal="centerContinuous" wrapText="1"/>
    </xf>
    <xf numFmtId="0" fontId="17" fillId="5" borderId="6" xfId="15" applyFont="1" applyFill="1" applyBorder="1" applyAlignment="1">
      <alignment horizontal="left" wrapText="1"/>
    </xf>
    <xf numFmtId="0" fontId="17" fillId="4" borderId="6" xfId="15" applyFont="1" applyFill="1" applyBorder="1" applyAlignment="1">
      <alignment horizontal="left"/>
    </xf>
    <xf numFmtId="0" fontId="17" fillId="5" borderId="13" xfId="15" applyFont="1" applyFill="1" applyBorder="1" applyAlignment="1">
      <alignment horizontal="left" wrapText="1"/>
    </xf>
    <xf numFmtId="0" fontId="19" fillId="5" borderId="64" xfId="15" applyFont="1" applyFill="1" applyBorder="1"/>
    <xf numFmtId="0" fontId="19" fillId="5" borderId="17" xfId="15" applyFont="1" applyFill="1" applyBorder="1"/>
    <xf numFmtId="0" fontId="19" fillId="5" borderId="21" xfId="15" applyFont="1" applyFill="1" applyBorder="1"/>
    <xf numFmtId="0" fontId="19" fillId="5" borderId="107" xfId="15" applyFont="1" applyFill="1" applyBorder="1"/>
    <xf numFmtId="0" fontId="11" fillId="0" borderId="76" xfId="15" applyFont="1" applyBorder="1" applyAlignment="1">
      <alignment horizontal="centerContinuous"/>
    </xf>
    <xf numFmtId="0" fontId="11" fillId="0" borderId="18" xfId="15" applyFont="1" applyBorder="1" applyAlignment="1">
      <alignment horizontal="centerContinuous"/>
    </xf>
    <xf numFmtId="0" fontId="46" fillId="8" borderId="5" xfId="13" applyFont="1" applyFill="1" applyBorder="1" applyAlignment="1">
      <alignment horizontal="center"/>
    </xf>
    <xf numFmtId="0" fontId="6" fillId="0" borderId="3" xfId="9" applyNumberFormat="1" applyFont="1" applyBorder="1"/>
    <xf numFmtId="0" fontId="11" fillId="0" borderId="5" xfId="9" applyFont="1" applyFill="1" applyBorder="1"/>
    <xf numFmtId="0" fontId="11" fillId="5" borderId="5" xfId="9" applyFont="1" applyFill="1" applyBorder="1"/>
    <xf numFmtId="165" fontId="34" fillId="5" borderId="108" xfId="14" applyNumberFormat="1" applyFont="1" applyFill="1" applyBorder="1"/>
    <xf numFmtId="0" fontId="11" fillId="0" borderId="4" xfId="14" applyFont="1" applyBorder="1" applyAlignment="1">
      <alignment horizontal="centerContinuous" vertical="center" wrapText="1"/>
    </xf>
    <xf numFmtId="0" fontId="11" fillId="0" borderId="56" xfId="14" applyFont="1" applyBorder="1" applyAlignment="1">
      <alignment horizontal="centerContinuous" vertical="center" wrapText="1"/>
    </xf>
    <xf numFmtId="164" fontId="23" fillId="0" borderId="72" xfId="14" applyNumberFormat="1" applyFont="1" applyBorder="1" applyAlignment="1">
      <alignment horizontal="right"/>
    </xf>
    <xf numFmtId="165" fontId="37" fillId="0" borderId="88" xfId="14" applyNumberFormat="1" applyFont="1" applyBorder="1"/>
    <xf numFmtId="164" fontId="34" fillId="5" borderId="96" xfId="14" applyNumberFormat="1" applyFont="1" applyFill="1" applyBorder="1" applyAlignment="1">
      <alignment horizontal="right"/>
    </xf>
    <xf numFmtId="2" fontId="1" fillId="0" borderId="0" xfId="14" applyNumberFormat="1" applyFont="1"/>
    <xf numFmtId="0" fontId="34" fillId="0" borderId="110" xfId="9" applyFont="1" applyBorder="1" applyAlignment="1">
      <alignment horizontal="right"/>
    </xf>
    <xf numFmtId="164" fontId="34" fillId="0" borderId="22" xfId="14" applyNumberFormat="1" applyFont="1" applyBorder="1" applyAlignment="1">
      <alignment horizontal="right"/>
    </xf>
    <xf numFmtId="164" fontId="34" fillId="0" borderId="75" xfId="14" applyNumberFormat="1" applyFont="1" applyBorder="1" applyAlignment="1">
      <alignment horizontal="right"/>
    </xf>
    <xf numFmtId="0" fontId="43" fillId="0" borderId="68" xfId="0" applyFont="1" applyFill="1" applyBorder="1"/>
    <xf numFmtId="0" fontId="8" fillId="0" borderId="44" xfId="19" applyFont="1" applyBorder="1" applyAlignment="1">
      <alignment horizontal="centerContinuous" vertical="center"/>
    </xf>
    <xf numFmtId="0" fontId="8" fillId="0" borderId="7" xfId="19" applyFont="1" applyBorder="1" applyAlignment="1">
      <alignment horizontal="centerContinuous" vertical="center"/>
    </xf>
    <xf numFmtId="0" fontId="43" fillId="0" borderId="45" xfId="9" applyFont="1" applyBorder="1"/>
    <xf numFmtId="0" fontId="43" fillId="0" borderId="45" xfId="9" applyFont="1" applyBorder="1" applyAlignment="1">
      <alignment horizontal="right"/>
    </xf>
    <xf numFmtId="0" fontId="43" fillId="0" borderId="45" xfId="9" applyFont="1" applyBorder="1" applyAlignment="1">
      <alignment wrapText="1"/>
    </xf>
    <xf numFmtId="0" fontId="43" fillId="0" borderId="45" xfId="9" applyFont="1" applyBorder="1" applyAlignment="1">
      <alignment horizontal="left"/>
    </xf>
    <xf numFmtId="0" fontId="34" fillId="0" borderId="52" xfId="0" applyFont="1" applyFill="1" applyBorder="1"/>
    <xf numFmtId="0" fontId="11" fillId="5" borderId="111" xfId="14" applyFont="1" applyFill="1" applyBorder="1"/>
    <xf numFmtId="0" fontId="1" fillId="2" borderId="112" xfId="14" applyFont="1" applyFill="1" applyBorder="1"/>
    <xf numFmtId="164" fontId="11" fillId="0" borderId="44" xfId="14" applyNumberFormat="1" applyFont="1" applyBorder="1" applyAlignment="1">
      <alignment horizontal="right"/>
    </xf>
    <xf numFmtId="0" fontId="1" fillId="0" borderId="0" xfId="14" applyFont="1" applyFill="1"/>
    <xf numFmtId="0" fontId="6" fillId="0" borderId="76" xfId="14" applyFont="1" applyFill="1" applyBorder="1"/>
    <xf numFmtId="165" fontId="37" fillId="0" borderId="79" xfId="14" applyNumberFormat="1" applyFont="1" applyBorder="1"/>
    <xf numFmtId="165" fontId="37" fillId="0" borderId="78" xfId="14" applyNumberFormat="1" applyFont="1" applyBorder="1"/>
    <xf numFmtId="164" fontId="37" fillId="0" borderId="81" xfId="14" applyNumberFormat="1" applyFont="1" applyBorder="1" applyAlignment="1">
      <alignment horizontal="right"/>
    </xf>
    <xf numFmtId="0" fontId="1" fillId="2" borderId="113" xfId="14" applyFont="1" applyFill="1" applyBorder="1"/>
    <xf numFmtId="0" fontId="37" fillId="2" borderId="114" xfId="14" applyFont="1" applyFill="1" applyBorder="1" applyAlignment="1">
      <alignment horizontal="right"/>
    </xf>
    <xf numFmtId="1" fontId="6" fillId="5" borderId="115" xfId="14" applyNumberFormat="1" applyFont="1" applyFill="1" applyBorder="1"/>
    <xf numFmtId="165" fontId="37" fillId="0" borderId="103" xfId="14" applyNumberFormat="1" applyFont="1" applyBorder="1"/>
    <xf numFmtId="165" fontId="6" fillId="0" borderId="54" xfId="14" applyNumberFormat="1" applyFont="1" applyBorder="1"/>
    <xf numFmtId="164" fontId="37" fillId="0" borderId="116" xfId="14" applyNumberFormat="1" applyFont="1" applyBorder="1" applyAlignment="1">
      <alignment horizontal="right"/>
    </xf>
    <xf numFmtId="1" fontId="8" fillId="0" borderId="5" xfId="9" applyNumberFormat="1" applyFont="1" applyBorder="1"/>
    <xf numFmtId="0" fontId="43" fillId="0" borderId="35" xfId="9" applyFont="1" applyFill="1" applyBorder="1"/>
    <xf numFmtId="0" fontId="8" fillId="0" borderId="5" xfId="9" applyFont="1" applyFill="1" applyBorder="1"/>
    <xf numFmtId="0" fontId="8" fillId="0" borderId="54" xfId="9" applyFont="1" applyFill="1" applyBorder="1"/>
    <xf numFmtId="0" fontId="43" fillId="0" borderId="3" xfId="9" applyFont="1" applyFill="1" applyBorder="1"/>
    <xf numFmtId="0" fontId="8" fillId="0" borderId="3" xfId="9" applyFont="1" applyFill="1" applyBorder="1"/>
    <xf numFmtId="0" fontId="11" fillId="0" borderId="2" xfId="0" applyFont="1" applyFill="1" applyBorder="1" applyAlignment="1">
      <alignment horizontal="center" vertical="center" wrapText="1"/>
    </xf>
    <xf numFmtId="0" fontId="0" fillId="0" borderId="5" xfId="0" applyFill="1" applyBorder="1"/>
    <xf numFmtId="164" fontId="0" fillId="0" borderId="5" xfId="0" applyNumberFormat="1" applyFill="1" applyBorder="1" applyAlignment="1">
      <alignment horizontal="right"/>
    </xf>
    <xf numFmtId="0" fontId="11" fillId="0" borderId="0" xfId="0" applyFont="1" applyFill="1" applyAlignment="1">
      <alignment horizontal="center" vertical="center" textRotation="90" wrapText="1"/>
    </xf>
    <xf numFmtId="164" fontId="0" fillId="0" borderId="0" xfId="0" applyNumberFormat="1" applyFill="1" applyAlignment="1">
      <alignment horizontal="right"/>
    </xf>
    <xf numFmtId="164" fontId="0" fillId="0" borderId="0" xfId="0" applyNumberFormat="1" applyFill="1"/>
    <xf numFmtId="164" fontId="6" fillId="0" borderId="5" xfId="0" applyNumberFormat="1" applyFont="1" applyFill="1" applyBorder="1"/>
    <xf numFmtId="0" fontId="34" fillId="0" borderId="79" xfId="9" applyFont="1" applyBorder="1"/>
    <xf numFmtId="0" fontId="34" fillId="0" borderId="60" xfId="25" applyFont="1" applyBorder="1"/>
    <xf numFmtId="0" fontId="34" fillId="0" borderId="63" xfId="9" applyFont="1" applyBorder="1" applyAlignment="1">
      <alignment horizontal="right"/>
    </xf>
    <xf numFmtId="0" fontId="11" fillId="0" borderId="57" xfId="0" applyFont="1" applyBorder="1" applyAlignment="1">
      <alignment horizontal="centerContinuous" vertical="center" wrapText="1"/>
    </xf>
    <xf numFmtId="0" fontId="11" fillId="0" borderId="117" xfId="0" applyFont="1" applyBorder="1" applyAlignment="1">
      <alignment horizontal="center" vertical="center" wrapText="1"/>
    </xf>
    <xf numFmtId="0" fontId="11" fillId="0" borderId="117" xfId="0" applyFont="1" applyBorder="1" applyAlignment="1">
      <alignment horizontal="centerContinuous" vertical="center" wrapText="1"/>
    </xf>
    <xf numFmtId="0" fontId="11" fillId="0" borderId="58" xfId="0" applyFont="1" applyBorder="1" applyAlignment="1">
      <alignment horizontal="center" vertical="center" wrapText="1"/>
    </xf>
    <xf numFmtId="0" fontId="11" fillId="0" borderId="58" xfId="0" applyFont="1" applyBorder="1" applyAlignment="1">
      <alignment horizontal="centerContinuous" vertical="center" wrapText="1"/>
    </xf>
    <xf numFmtId="0" fontId="6" fillId="0" borderId="13" xfId="0" applyFont="1" applyBorder="1" applyAlignment="1">
      <alignment horizontal="center"/>
    </xf>
    <xf numFmtId="0" fontId="6" fillId="0" borderId="64" xfId="0" applyFont="1" applyBorder="1" applyAlignment="1">
      <alignment horizontal="right"/>
    </xf>
    <xf numFmtId="164" fontId="6" fillId="0" borderId="17" xfId="0" applyNumberFormat="1" applyFont="1" applyBorder="1" applyAlignment="1">
      <alignment horizontal="right"/>
    </xf>
    <xf numFmtId="0" fontId="6" fillId="5" borderId="45" xfId="24" applyFont="1" applyFill="1" applyBorder="1" applyAlignment="1">
      <alignment horizontal="right"/>
    </xf>
    <xf numFmtId="164" fontId="6" fillId="5" borderId="0" xfId="24" applyNumberFormat="1" applyFont="1" applyFill="1" applyBorder="1" applyAlignment="1">
      <alignment horizontal="right"/>
    </xf>
    <xf numFmtId="0" fontId="6" fillId="5" borderId="1" xfId="24" applyFont="1" applyFill="1" applyBorder="1" applyAlignment="1">
      <alignment horizontal="right"/>
    </xf>
    <xf numFmtId="164" fontId="6" fillId="0" borderId="31" xfId="24" applyNumberFormat="1" applyFont="1" applyBorder="1" applyAlignment="1">
      <alignment horizontal="right"/>
    </xf>
    <xf numFmtId="0" fontId="6" fillId="0" borderId="1" xfId="1" applyNumberFormat="1" applyFont="1" applyBorder="1" applyAlignment="1">
      <alignment horizontal="right"/>
    </xf>
    <xf numFmtId="164" fontId="6" fillId="5" borderId="3" xfId="24" applyNumberFormat="1" applyFont="1" applyFill="1" applyBorder="1" applyAlignment="1">
      <alignment horizontal="right"/>
    </xf>
    <xf numFmtId="0" fontId="6" fillId="5" borderId="3" xfId="24" applyFont="1" applyFill="1" applyBorder="1" applyAlignment="1">
      <alignment horizontal="right"/>
    </xf>
    <xf numFmtId="0" fontId="6" fillId="2" borderId="3" xfId="24" applyFont="1" applyFill="1" applyBorder="1" applyAlignment="1">
      <alignment horizontal="right"/>
    </xf>
    <xf numFmtId="0" fontId="11" fillId="0" borderId="1" xfId="24" applyFont="1" applyBorder="1" applyAlignment="1">
      <alignment horizontal="center"/>
    </xf>
    <xf numFmtId="0" fontId="11" fillId="0" borderId="1" xfId="24" applyFont="1" applyBorder="1" applyAlignment="1">
      <alignment horizontal="centerContinuous" vertical="center"/>
    </xf>
    <xf numFmtId="164" fontId="11" fillId="0" borderId="118" xfId="24" applyNumberFormat="1" applyFont="1" applyBorder="1" applyAlignment="1">
      <alignment horizontal="center" vertical="center" wrapText="1"/>
    </xf>
    <xf numFmtId="0" fontId="11" fillId="0" borderId="23" xfId="24" applyFont="1" applyBorder="1" applyAlignment="1">
      <alignment horizontal="center" vertical="top"/>
    </xf>
    <xf numFmtId="164" fontId="6" fillId="5" borderId="31" xfId="24" applyNumberFormat="1" applyFont="1" applyFill="1" applyBorder="1" applyAlignment="1">
      <alignment horizontal="right"/>
    </xf>
    <xf numFmtId="0" fontId="6" fillId="5" borderId="6" xfId="24" applyFont="1" applyFill="1" applyBorder="1" applyAlignment="1">
      <alignment horizontal="right"/>
    </xf>
    <xf numFmtId="164" fontId="6" fillId="0" borderId="44" xfId="24" applyNumberFormat="1" applyFont="1" applyBorder="1" applyAlignment="1">
      <alignment horizontal="right"/>
    </xf>
    <xf numFmtId="0" fontId="6" fillId="5" borderId="60" xfId="24" applyFont="1" applyFill="1" applyBorder="1" applyAlignment="1">
      <alignment horizontal="right"/>
    </xf>
    <xf numFmtId="164" fontId="6" fillId="0" borderId="30" xfId="24" applyNumberFormat="1" applyFont="1" applyBorder="1" applyAlignment="1">
      <alignment horizontal="right"/>
    </xf>
    <xf numFmtId="0" fontId="6" fillId="2" borderId="101" xfId="24" applyFont="1" applyFill="1" applyBorder="1" applyAlignment="1">
      <alignment horizontal="right"/>
    </xf>
    <xf numFmtId="164" fontId="6" fillId="0" borderId="102" xfId="24" applyNumberFormat="1" applyFont="1" applyBorder="1" applyAlignment="1">
      <alignment horizontal="right"/>
    </xf>
    <xf numFmtId="0" fontId="6" fillId="0" borderId="23" xfId="24" applyFont="1" applyBorder="1" applyAlignment="1">
      <alignment horizontal="right"/>
    </xf>
    <xf numFmtId="0" fontId="6" fillId="0" borderId="6" xfId="0" applyFont="1" applyFill="1" applyBorder="1" applyAlignment="1">
      <alignment horizontal="center"/>
    </xf>
    <xf numFmtId="0" fontId="6" fillId="0" borderId="7" xfId="0" applyFont="1" applyFill="1" applyBorder="1" applyAlignment="1">
      <alignment horizontal="center"/>
    </xf>
    <xf numFmtId="0" fontId="6" fillId="0" borderId="5" xfId="0" applyFont="1" applyFill="1" applyBorder="1" applyAlignment="1">
      <alignment horizontal="right"/>
    </xf>
    <xf numFmtId="0" fontId="6" fillId="0" borderId="7" xfId="0" applyFont="1" applyFill="1" applyBorder="1" applyAlignment="1">
      <alignment horizontal="right"/>
    </xf>
    <xf numFmtId="0" fontId="49" fillId="0" borderId="0" xfId="0" applyFont="1"/>
    <xf numFmtId="0" fontId="50" fillId="0" borderId="0" xfId="0" applyFont="1"/>
    <xf numFmtId="0" fontId="6" fillId="1" borderId="3" xfId="0" applyFont="1" applyFill="1" applyBorder="1" applyAlignment="1">
      <alignment horizontal="right"/>
    </xf>
    <xf numFmtId="10" fontId="6" fillId="1" borderId="3" xfId="0" applyNumberFormat="1" applyFont="1" applyFill="1" applyBorder="1" applyAlignment="1">
      <alignment horizontal="right"/>
    </xf>
    <xf numFmtId="0" fontId="6" fillId="0" borderId="3" xfId="0" applyFont="1" applyBorder="1" applyAlignment="1">
      <alignment horizontal="right"/>
    </xf>
    <xf numFmtId="0" fontId="6" fillId="0" borderId="0" xfId="23" applyFont="1" applyBorder="1"/>
    <xf numFmtId="0" fontId="6" fillId="0" borderId="63" xfId="23" applyFont="1" applyBorder="1" applyAlignment="1">
      <alignment horizontal="right"/>
    </xf>
    <xf numFmtId="0" fontId="6" fillId="0" borderId="2" xfId="23" applyFont="1" applyBorder="1"/>
    <xf numFmtId="0" fontId="6" fillId="0" borderId="64" xfId="23" applyFont="1" applyBorder="1" applyAlignment="1">
      <alignment horizontal="right"/>
    </xf>
    <xf numFmtId="0" fontId="11" fillId="5" borderId="1" xfId="23" applyFont="1" applyFill="1" applyBorder="1" applyAlignment="1">
      <alignment horizontal="center" vertical="center"/>
    </xf>
    <xf numFmtId="0" fontId="6" fillId="0" borderId="6" xfId="23" applyFont="1" applyBorder="1" applyAlignment="1">
      <alignment horizontal="centerContinuous"/>
    </xf>
    <xf numFmtId="0" fontId="6" fillId="0" borderId="1" xfId="23" applyFont="1" applyBorder="1" applyAlignment="1">
      <alignment horizontal="center"/>
    </xf>
    <xf numFmtId="164" fontId="16" fillId="0" borderId="37" xfId="23" applyNumberFormat="1" applyFont="1" applyBorder="1" applyAlignment="1">
      <alignment horizontal="center" vertical="center" wrapText="1"/>
    </xf>
    <xf numFmtId="164" fontId="11" fillId="5" borderId="31" xfId="23" applyNumberFormat="1" applyFont="1" applyFill="1" applyBorder="1" applyAlignment="1">
      <alignment horizontal="centerContinuous" vertical="center" wrapText="1"/>
    </xf>
    <xf numFmtId="164" fontId="6" fillId="0" borderId="31" xfId="23" applyNumberFormat="1" applyFont="1" applyBorder="1" applyAlignment="1">
      <alignment horizontal="right"/>
    </xf>
    <xf numFmtId="164" fontId="6" fillId="0" borderId="31" xfId="23" applyNumberFormat="1" applyFont="1" applyBorder="1"/>
    <xf numFmtId="164" fontId="6" fillId="0" borderId="44" xfId="23" applyNumberFormat="1" applyFont="1" applyBorder="1" applyAlignment="1">
      <alignment horizontal="right"/>
    </xf>
    <xf numFmtId="164" fontId="6" fillId="0" borderId="20" xfId="23" applyNumberFormat="1" applyFont="1" applyBorder="1" applyAlignment="1">
      <alignment horizontal="right"/>
    </xf>
    <xf numFmtId="0" fontId="16" fillId="0" borderId="3" xfId="23" applyFont="1" applyBorder="1" applyAlignment="1">
      <alignment horizontal="center" vertical="center"/>
    </xf>
    <xf numFmtId="0" fontId="16" fillId="0" borderId="61" xfId="23" applyFont="1" applyBorder="1" applyAlignment="1">
      <alignment horizontal="centerContinuous" vertical="center" wrapText="1"/>
    </xf>
    <xf numFmtId="165" fontId="37" fillId="0" borderId="95" xfId="14" applyNumberFormat="1" applyFont="1" applyBorder="1"/>
    <xf numFmtId="0" fontId="18" fillId="5" borderId="66" xfId="15" applyFont="1" applyFill="1" applyBorder="1"/>
    <xf numFmtId="0" fontId="34" fillId="0" borderId="84" xfId="25" applyFont="1" applyBorder="1" applyAlignment="1">
      <alignment horizontal="center" wrapText="1"/>
    </xf>
    <xf numFmtId="0" fontId="43" fillId="0" borderId="68" xfId="9" applyFont="1" applyFill="1" applyBorder="1"/>
    <xf numFmtId="164" fontId="34" fillId="0" borderId="52" xfId="14" applyNumberFormat="1" applyFont="1" applyFill="1" applyBorder="1" applyAlignment="1">
      <alignment horizontal="right"/>
    </xf>
    <xf numFmtId="164" fontId="34" fillId="0" borderId="7" xfId="14" applyNumberFormat="1" applyFont="1" applyFill="1" applyBorder="1" applyAlignment="1">
      <alignment horizontal="right"/>
    </xf>
    <xf numFmtId="0" fontId="6" fillId="0" borderId="0" xfId="18" applyFont="1" applyFill="1" applyBorder="1"/>
    <xf numFmtId="164" fontId="6" fillId="0" borderId="0" xfId="18" applyNumberFormat="1" applyFont="1" applyFill="1" applyBorder="1"/>
    <xf numFmtId="9" fontId="6" fillId="0" borderId="0" xfId="18" applyNumberFormat="1" applyFont="1" applyFill="1" applyBorder="1"/>
    <xf numFmtId="165" fontId="6" fillId="0" borderId="35" xfId="14" applyNumberFormat="1" applyFont="1" applyBorder="1"/>
    <xf numFmtId="9" fontId="6" fillId="5" borderId="120" xfId="14" applyNumberFormat="1" applyFont="1" applyFill="1" applyBorder="1"/>
    <xf numFmtId="165" fontId="23" fillId="0" borderId="116" xfId="14" applyNumberFormat="1" applyFont="1" applyBorder="1"/>
    <xf numFmtId="165" fontId="23" fillId="0" borderId="103" xfId="14" applyNumberFormat="1" applyFont="1" applyBorder="1"/>
    <xf numFmtId="0" fontId="2" fillId="0" borderId="0" xfId="8" applyFont="1"/>
    <xf numFmtId="0" fontId="2" fillId="0" borderId="0" xfId="8" applyFont="1" applyFill="1"/>
    <xf numFmtId="0" fontId="2" fillId="2" borderId="112" xfId="14" applyFont="1" applyFill="1" applyBorder="1"/>
    <xf numFmtId="165" fontId="37" fillId="0" borderId="121" xfId="14" applyNumberFormat="1" applyFont="1" applyBorder="1"/>
    <xf numFmtId="0" fontId="2" fillId="2" borderId="59" xfId="14" applyFont="1" applyFill="1" applyBorder="1"/>
    <xf numFmtId="0" fontId="2" fillId="2" borderId="73" xfId="14" applyFont="1" applyFill="1" applyBorder="1"/>
    <xf numFmtId="0" fontId="10" fillId="0" borderId="0" xfId="0" applyFont="1" applyAlignment="1"/>
    <xf numFmtId="0" fontId="34" fillId="0" borderId="56" xfId="25" applyFont="1" applyBorder="1" applyAlignment="1">
      <alignment horizontal="center" wrapText="1"/>
    </xf>
    <xf numFmtId="0" fontId="34" fillId="0" borderId="41" xfId="9" applyFont="1" applyBorder="1" applyAlignment="1">
      <alignment horizontal="right"/>
    </xf>
    <xf numFmtId="0" fontId="34" fillId="0" borderId="27" xfId="9" applyFont="1" applyBorder="1"/>
    <xf numFmtId="0" fontId="8" fillId="0" borderId="27" xfId="9" applyFont="1" applyBorder="1"/>
    <xf numFmtId="0" fontId="8" fillId="0" borderId="47" xfId="9" applyFont="1" applyBorder="1"/>
    <xf numFmtId="0" fontId="34" fillId="0" borderId="38" xfId="9" applyFont="1" applyBorder="1"/>
    <xf numFmtId="0" fontId="8" fillId="0" borderId="38" xfId="9" applyFont="1" applyBorder="1"/>
    <xf numFmtId="0" fontId="42" fillId="8" borderId="4" xfId="25" applyFont="1" applyFill="1" applyBorder="1" applyAlignment="1">
      <alignment horizontal="center"/>
    </xf>
    <xf numFmtId="0" fontId="2" fillId="0" borderId="45" xfId="0" applyFont="1" applyFill="1" applyBorder="1" applyAlignment="1">
      <alignment horizontal="right"/>
    </xf>
    <xf numFmtId="0" fontId="0" fillId="2" borderId="59" xfId="14" applyFont="1" applyFill="1" applyBorder="1"/>
    <xf numFmtId="165" fontId="6" fillId="0" borderId="44" xfId="14" applyNumberFormat="1" applyFont="1" applyBorder="1"/>
    <xf numFmtId="0" fontId="0" fillId="0" borderId="3" xfId="0" applyBorder="1"/>
    <xf numFmtId="0" fontId="2" fillId="0" borderId="0" xfId="8"/>
    <xf numFmtId="9" fontId="6" fillId="0" borderId="0" xfId="26" applyFont="1"/>
    <xf numFmtId="0" fontId="34" fillId="5" borderId="45" xfId="8" applyFont="1" applyFill="1" applyBorder="1"/>
    <xf numFmtId="0" fontId="34" fillId="5" borderId="3" xfId="8" applyFont="1" applyFill="1" applyBorder="1"/>
    <xf numFmtId="0" fontId="43" fillId="5" borderId="3" xfId="8" applyFont="1" applyFill="1" applyBorder="1"/>
    <xf numFmtId="0" fontId="43" fillId="5" borderId="52" xfId="8" applyFont="1" applyFill="1" applyBorder="1"/>
    <xf numFmtId="0" fontId="43" fillId="0" borderId="45" xfId="8" applyFont="1" applyFill="1" applyBorder="1"/>
    <xf numFmtId="0" fontId="43" fillId="0" borderId="3" xfId="8" applyFont="1" applyFill="1" applyBorder="1"/>
    <xf numFmtId="0" fontId="43" fillId="5" borderId="7" xfId="8" applyFont="1" applyFill="1" applyBorder="1"/>
    <xf numFmtId="0" fontId="34" fillId="5" borderId="35" xfId="8" applyFont="1" applyFill="1" applyBorder="1"/>
    <xf numFmtId="0" fontId="34" fillId="5" borderId="5" xfId="8" applyFont="1" applyFill="1" applyBorder="1"/>
    <xf numFmtId="0" fontId="43" fillId="5" borderId="5" xfId="8" applyFont="1" applyFill="1" applyBorder="1"/>
    <xf numFmtId="0" fontId="43" fillId="5" borderId="44" xfId="8" applyFont="1" applyFill="1" applyBorder="1"/>
    <xf numFmtId="0" fontId="34" fillId="5" borderId="2" xfId="8" applyFont="1" applyFill="1" applyBorder="1"/>
    <xf numFmtId="0" fontId="43" fillId="5" borderId="2" xfId="8" applyFont="1" applyFill="1" applyBorder="1"/>
    <xf numFmtId="0" fontId="43" fillId="5" borderId="31" xfId="8" applyFont="1" applyFill="1" applyBorder="1"/>
    <xf numFmtId="0" fontId="43" fillId="5" borderId="18" xfId="8" applyFont="1" applyFill="1" applyBorder="1"/>
    <xf numFmtId="0" fontId="8" fillId="5" borderId="127" xfId="8" applyFont="1" applyFill="1" applyBorder="1"/>
    <xf numFmtId="0" fontId="8" fillId="5" borderId="128" xfId="8" applyFont="1" applyFill="1" applyBorder="1"/>
    <xf numFmtId="0" fontId="8" fillId="5" borderId="125" xfId="8" applyFont="1" applyFill="1" applyBorder="1"/>
    <xf numFmtId="0" fontId="8" fillId="5" borderId="129" xfId="8" applyFont="1" applyFill="1" applyBorder="1"/>
    <xf numFmtId="0" fontId="2" fillId="0" borderId="4" xfId="10" applyFont="1" applyBorder="1"/>
    <xf numFmtId="0" fontId="2" fillId="0" borderId="4" xfId="12" applyFont="1" applyFill="1" applyBorder="1" applyAlignment="1">
      <alignment horizontal="left"/>
    </xf>
    <xf numFmtId="0" fontId="2" fillId="0" borderId="4" xfId="12" applyFont="1" applyFill="1" applyBorder="1"/>
    <xf numFmtId="0" fontId="7" fillId="0" borderId="0" xfId="0" applyFont="1"/>
    <xf numFmtId="0" fontId="43" fillId="0" borderId="5" xfId="13" applyFont="1" applyBorder="1"/>
    <xf numFmtId="0" fontId="43" fillId="0" borderId="4" xfId="13" applyFont="1" applyBorder="1"/>
    <xf numFmtId="0" fontId="2" fillId="0" borderId="4" xfId="9" applyFont="1" applyBorder="1"/>
    <xf numFmtId="0" fontId="2" fillId="0" borderId="0" xfId="0" applyFont="1" applyAlignment="1">
      <alignment horizontal="center"/>
    </xf>
    <xf numFmtId="0" fontId="2" fillId="0" borderId="0" xfId="0" applyFont="1" applyAlignment="1">
      <alignment horizontal="centerContinuous" wrapText="1"/>
    </xf>
    <xf numFmtId="0" fontId="6" fillId="0" borderId="23" xfId="23" applyFont="1" applyBorder="1" applyAlignment="1">
      <alignment horizontal="centerContinuous"/>
    </xf>
    <xf numFmtId="0" fontId="18" fillId="5" borderId="52" xfId="15" applyFont="1" applyFill="1" applyBorder="1"/>
    <xf numFmtId="0" fontId="19" fillId="4" borderId="52" xfId="15" applyFont="1" applyFill="1" applyBorder="1"/>
    <xf numFmtId="0" fontId="18" fillId="5" borderId="51" xfId="15" applyFont="1" applyFill="1" applyBorder="1"/>
    <xf numFmtId="0" fontId="19" fillId="5" borderId="65" xfId="15" applyFont="1" applyFill="1" applyBorder="1"/>
    <xf numFmtId="0" fontId="2" fillId="0" borderId="0" xfId="15" applyFont="1"/>
    <xf numFmtId="0" fontId="2" fillId="0" borderId="0" xfId="15" applyFont="1" applyAlignment="1">
      <alignment horizontal="centerContinuous" vertical="center"/>
    </xf>
    <xf numFmtId="0" fontId="2" fillId="0" borderId="57" xfId="15" applyFont="1" applyBorder="1" applyAlignment="1">
      <alignment horizontal="right"/>
    </xf>
    <xf numFmtId="0" fontId="11" fillId="0" borderId="130" xfId="15" applyFont="1" applyFill="1" applyBorder="1" applyAlignment="1">
      <alignment horizontal="center"/>
    </xf>
    <xf numFmtId="0" fontId="11" fillId="0" borderId="131" xfId="15" applyFont="1" applyFill="1" applyBorder="1" applyAlignment="1">
      <alignment horizontal="centerContinuous"/>
    </xf>
    <xf numFmtId="0" fontId="11" fillId="0" borderId="130" xfId="15" applyFont="1" applyFill="1" applyBorder="1" applyAlignment="1">
      <alignment horizontal="centerContinuous"/>
    </xf>
    <xf numFmtId="0" fontId="11" fillId="0" borderId="132" xfId="15" applyFont="1" applyFill="1" applyBorder="1" applyAlignment="1">
      <alignment horizontal="center"/>
    </xf>
    <xf numFmtId="0" fontId="11" fillId="0" borderId="133" xfId="15" applyFont="1" applyFill="1" applyBorder="1" applyAlignment="1"/>
    <xf numFmtId="0" fontId="11" fillId="0" borderId="130" xfId="15" applyFont="1" applyFill="1" applyBorder="1" applyAlignment="1"/>
    <xf numFmtId="0" fontId="11" fillId="0" borderId="58" xfId="15" applyFont="1" applyFill="1" applyBorder="1" applyAlignment="1"/>
    <xf numFmtId="0" fontId="11" fillId="0" borderId="133" xfId="15" applyFont="1" applyFill="1" applyBorder="1"/>
    <xf numFmtId="0" fontId="11" fillId="0" borderId="58" xfId="15" applyFont="1" applyFill="1" applyBorder="1"/>
    <xf numFmtId="0" fontId="11" fillId="0" borderId="134" xfId="15" applyFont="1" applyFill="1" applyBorder="1"/>
    <xf numFmtId="0" fontId="11" fillId="0" borderId="130" xfId="15" applyFont="1" applyFill="1" applyBorder="1"/>
    <xf numFmtId="0" fontId="2" fillId="0" borderId="1" xfId="15" applyFont="1" applyBorder="1" applyAlignment="1">
      <alignment horizontal="right"/>
    </xf>
    <xf numFmtId="0" fontId="11" fillId="0" borderId="31" xfId="15" applyFont="1" applyFill="1" applyBorder="1" applyAlignment="1">
      <alignment horizontal="centerContinuous"/>
    </xf>
    <xf numFmtId="0" fontId="11" fillId="0" borderId="32" xfId="15" applyFont="1" applyFill="1" applyBorder="1" applyAlignment="1">
      <alignment horizontal="centerContinuous"/>
    </xf>
    <xf numFmtId="0" fontId="11" fillId="0" borderId="30" xfId="15" applyFont="1" applyFill="1" applyBorder="1" applyAlignment="1">
      <alignment horizontal="centerContinuous"/>
    </xf>
    <xf numFmtId="0" fontId="11" fillId="0" borderId="135" xfId="15" applyFont="1" applyFill="1" applyBorder="1" applyAlignment="1">
      <alignment horizontal="centerContinuous"/>
    </xf>
    <xf numFmtId="0" fontId="2" fillId="0" borderId="5" xfId="15" applyFont="1" applyBorder="1" applyAlignment="1">
      <alignment horizontal="center"/>
    </xf>
    <xf numFmtId="0" fontId="2" fillId="0" borderId="7" xfId="15" applyFont="1" applyBorder="1" applyAlignment="1">
      <alignment horizontal="center"/>
    </xf>
    <xf numFmtId="0" fontId="2" fillId="0" borderId="4" xfId="15" applyFont="1" applyBorder="1" applyAlignment="1">
      <alignment horizontal="center"/>
    </xf>
    <xf numFmtId="0" fontId="2" fillId="0" borderId="51" xfId="15" applyFont="1" applyBorder="1" applyAlignment="1">
      <alignment horizontal="center"/>
    </xf>
    <xf numFmtId="0" fontId="2" fillId="0" borderId="43" xfId="15" applyFont="1" applyBorder="1" applyAlignment="1">
      <alignment horizontal="center"/>
    </xf>
    <xf numFmtId="0" fontId="2" fillId="0" borderId="68" xfId="15" applyFont="1" applyBorder="1" applyAlignment="1">
      <alignment horizontal="center"/>
    </xf>
    <xf numFmtId="0" fontId="2" fillId="0" borderId="7" xfId="15" applyFont="1" applyBorder="1" applyAlignment="1">
      <alignment horizontal="center" wrapText="1"/>
    </xf>
    <xf numFmtId="0" fontId="18" fillId="5" borderId="44" xfId="15" applyFont="1" applyFill="1" applyBorder="1"/>
    <xf numFmtId="0" fontId="2" fillId="0" borderId="6" xfId="15" applyFont="1" applyBorder="1" applyAlignment="1">
      <alignment horizontal="left"/>
    </xf>
    <xf numFmtId="0" fontId="2" fillId="0" borderId="5" xfId="15" applyFont="1" applyBorder="1"/>
    <xf numFmtId="0" fontId="2" fillId="0" borderId="7" xfId="15" applyFont="1" applyBorder="1"/>
    <xf numFmtId="0" fontId="2" fillId="0" borderId="4" xfId="15" applyFont="1" applyBorder="1"/>
    <xf numFmtId="0" fontId="2" fillId="0" borderId="51" xfId="15" applyFont="1" applyBorder="1"/>
    <xf numFmtId="0" fontId="2" fillId="0" borderId="31" xfId="15" applyFont="1" applyBorder="1"/>
    <xf numFmtId="0" fontId="2" fillId="0" borderId="52" xfId="15" applyFont="1" applyBorder="1"/>
    <xf numFmtId="0" fontId="2" fillId="0" borderId="43" xfId="15" applyFont="1" applyBorder="1"/>
    <xf numFmtId="0" fontId="2" fillId="0" borderId="66" xfId="15" applyFont="1" applyBorder="1"/>
    <xf numFmtId="0" fontId="2" fillId="0" borderId="6" xfId="15" applyFont="1" applyBorder="1"/>
    <xf numFmtId="9" fontId="2" fillId="0" borderId="7" xfId="27" applyFont="1" applyBorder="1"/>
    <xf numFmtId="0" fontId="2" fillId="4" borderId="6" xfId="15" applyFont="1" applyFill="1" applyBorder="1" applyAlignment="1">
      <alignment horizontal="left"/>
    </xf>
    <xf numFmtId="0" fontId="2" fillId="4" borderId="5" xfId="15" applyFont="1" applyFill="1" applyBorder="1"/>
    <xf numFmtId="0" fontId="2" fillId="4" borderId="4" xfId="15" applyFont="1" applyFill="1" applyBorder="1"/>
    <xf numFmtId="0" fontId="2" fillId="4" borderId="66" xfId="15" applyFont="1" applyFill="1" applyBorder="1"/>
    <xf numFmtId="0" fontId="2" fillId="4" borderId="6" xfId="15" applyFont="1" applyFill="1" applyBorder="1"/>
    <xf numFmtId="0" fontId="2" fillId="4" borderId="7" xfId="15" applyFont="1" applyFill="1" applyBorder="1"/>
    <xf numFmtId="0" fontId="2" fillId="4" borderId="52" xfId="15" applyFont="1" applyFill="1" applyBorder="1"/>
    <xf numFmtId="0" fontId="2" fillId="4" borderId="31" xfId="15" applyFont="1" applyFill="1" applyBorder="1"/>
    <xf numFmtId="0" fontId="2" fillId="4" borderId="51" xfId="15" applyFont="1" applyFill="1" applyBorder="1"/>
    <xf numFmtId="0" fontId="2" fillId="4" borderId="43" xfId="15" applyFont="1" applyFill="1" applyBorder="1"/>
    <xf numFmtId="0" fontId="2" fillId="4" borderId="30" xfId="15" applyFont="1" applyFill="1" applyBorder="1"/>
    <xf numFmtId="0" fontId="11" fillId="0" borderId="5" xfId="15" applyFont="1" applyBorder="1"/>
    <xf numFmtId="9" fontId="11" fillId="0" borderId="7" xfId="27" applyFont="1" applyBorder="1"/>
    <xf numFmtId="0" fontId="2" fillId="0" borderId="56" xfId="15" applyFont="1" applyBorder="1"/>
    <xf numFmtId="0" fontId="2" fillId="0" borderId="18" xfId="15" applyFont="1" applyBorder="1"/>
    <xf numFmtId="0" fontId="2" fillId="4" borderId="56" xfId="15" applyFont="1" applyFill="1" applyBorder="1"/>
    <xf numFmtId="0" fontId="2" fillId="4" borderId="44" xfId="15" applyFont="1" applyFill="1" applyBorder="1"/>
    <xf numFmtId="0" fontId="11" fillId="0" borderId="52" xfId="15" applyFont="1" applyBorder="1"/>
    <xf numFmtId="0" fontId="11" fillId="9" borderId="119" xfId="15" applyFont="1" applyFill="1" applyBorder="1"/>
    <xf numFmtId="0" fontId="11" fillId="9" borderId="16" xfId="15" applyFont="1" applyFill="1" applyBorder="1"/>
    <xf numFmtId="9" fontId="19" fillId="5" borderId="17" xfId="27" applyFont="1" applyFill="1" applyBorder="1"/>
    <xf numFmtId="0" fontId="15" fillId="0" borderId="0" xfId="15" applyFont="1" applyAlignment="1">
      <alignment horizontal="left"/>
    </xf>
    <xf numFmtId="0" fontId="2" fillId="0" borderId="0" xfId="15" applyFont="1" applyBorder="1"/>
    <xf numFmtId="9" fontId="2" fillId="0" borderId="0" xfId="27" applyFont="1" applyBorder="1"/>
    <xf numFmtId="0" fontId="2" fillId="0" borderId="0" xfId="15" applyFont="1" applyAlignment="1">
      <alignment horizontal="right"/>
    </xf>
    <xf numFmtId="0" fontId="2" fillId="0" borderId="4" xfId="12" applyFont="1" applyBorder="1"/>
    <xf numFmtId="0" fontId="11" fillId="0" borderId="3" xfId="17" applyFont="1" applyBorder="1" applyAlignment="1">
      <alignment horizontal="center"/>
    </xf>
    <xf numFmtId="0" fontId="6" fillId="0" borderId="3" xfId="17" applyFont="1" applyBorder="1" applyAlignment="1">
      <alignment horizontal="center"/>
    </xf>
    <xf numFmtId="164" fontId="6" fillId="0" borderId="3" xfId="26" applyNumberFormat="1" applyFont="1" applyFill="1" applyBorder="1" applyAlignment="1">
      <alignment horizontal="center"/>
    </xf>
    <xf numFmtId="0" fontId="6" fillId="5" borderId="3" xfId="17" applyFont="1" applyFill="1" applyBorder="1" applyAlignment="1">
      <alignment horizontal="center"/>
    </xf>
    <xf numFmtId="164" fontId="6" fillId="5" borderId="3" xfId="26" applyNumberFormat="1" applyFont="1" applyFill="1" applyBorder="1" applyAlignment="1">
      <alignment horizontal="center"/>
    </xf>
    <xf numFmtId="2" fontId="6" fillId="0" borderId="3" xfId="17" applyNumberFormat="1" applyFont="1" applyBorder="1" applyAlignment="1">
      <alignment horizontal="center"/>
    </xf>
    <xf numFmtId="1" fontId="6" fillId="0" borderId="3" xfId="17" applyNumberFormat="1" applyFont="1" applyBorder="1" applyAlignment="1">
      <alignment horizontal="center"/>
    </xf>
    <xf numFmtId="175" fontId="6" fillId="5" borderId="3" xfId="1" applyNumberFormat="1" applyFont="1" applyFill="1" applyBorder="1"/>
    <xf numFmtId="175" fontId="6" fillId="5" borderId="51" xfId="14" applyNumberFormat="1" applyFont="1" applyFill="1" applyBorder="1"/>
    <xf numFmtId="165" fontId="1" fillId="0" borderId="0" xfId="14" applyNumberFormat="1" applyFont="1" applyFill="1" applyBorder="1" applyAlignment="1">
      <alignment horizontal="left"/>
    </xf>
    <xf numFmtId="165" fontId="6" fillId="0" borderId="0" xfId="14" applyNumberFormat="1" applyFont="1"/>
    <xf numFmtId="0" fontId="2" fillId="0" borderId="73" xfId="15" applyFont="1" applyBorder="1" applyAlignment="1">
      <alignment horizontal="right"/>
    </xf>
    <xf numFmtId="0" fontId="2" fillId="0" borderId="66" xfId="15" applyFont="1" applyBorder="1" applyAlignment="1">
      <alignment horizontal="center"/>
    </xf>
    <xf numFmtId="0" fontId="2" fillId="0" borderId="43" xfId="15" applyFont="1" applyBorder="1" applyAlignment="1">
      <alignment horizontal="center" wrapText="1"/>
    </xf>
    <xf numFmtId="0" fontId="2" fillId="0" borderId="59" xfId="15" applyFont="1" applyBorder="1" applyAlignment="1">
      <alignment horizontal="left"/>
    </xf>
    <xf numFmtId="9" fontId="2" fillId="0" borderId="43" xfId="27" applyFont="1" applyBorder="1"/>
    <xf numFmtId="0" fontId="2" fillId="4" borderId="59" xfId="15" applyFont="1" applyFill="1" applyBorder="1" applyAlignment="1">
      <alignment horizontal="left"/>
    </xf>
    <xf numFmtId="9" fontId="11" fillId="0" borderId="43" xfId="27" applyFont="1" applyBorder="1"/>
    <xf numFmtId="0" fontId="18" fillId="5" borderId="56" xfId="15" applyFont="1" applyFill="1" applyBorder="1"/>
    <xf numFmtId="0" fontId="11" fillId="5" borderId="3" xfId="14" applyFont="1" applyFill="1" applyBorder="1"/>
    <xf numFmtId="0" fontId="11" fillId="5" borderId="2" xfId="14" applyFont="1" applyFill="1" applyBorder="1"/>
    <xf numFmtId="0" fontId="11" fillId="5" borderId="45" xfId="14" applyFont="1" applyFill="1" applyBorder="1"/>
    <xf numFmtId="0" fontId="1" fillId="2" borderId="45" xfId="14" applyFont="1" applyFill="1" applyBorder="1"/>
    <xf numFmtId="0" fontId="37" fillId="2" borderId="45" xfId="14" applyFont="1" applyFill="1" applyBorder="1" applyAlignment="1">
      <alignment horizontal="right"/>
    </xf>
    <xf numFmtId="0" fontId="6" fillId="0" borderId="45" xfId="14" applyFont="1" applyFill="1" applyBorder="1"/>
    <xf numFmtId="0" fontId="23" fillId="2" borderId="101" xfId="14" applyFont="1" applyFill="1" applyBorder="1" applyAlignment="1">
      <alignment horizontal="right"/>
    </xf>
    <xf numFmtId="0" fontId="11" fillId="5" borderId="51" xfId="14" applyFont="1" applyFill="1" applyBorder="1"/>
    <xf numFmtId="1" fontId="6" fillId="0" borderId="3" xfId="14" applyNumberFormat="1" applyFont="1" applyFill="1" applyBorder="1"/>
    <xf numFmtId="0" fontId="11" fillId="5" borderId="30" xfId="14" applyFont="1" applyFill="1" applyBorder="1"/>
    <xf numFmtId="165" fontId="37" fillId="0" borderId="3" xfId="14" applyNumberFormat="1" applyFont="1" applyBorder="1" applyAlignment="1">
      <alignment horizontal="right"/>
    </xf>
    <xf numFmtId="165" fontId="6" fillId="0" borderId="3" xfId="14" applyNumberFormat="1" applyFont="1" applyFill="1" applyBorder="1"/>
    <xf numFmtId="165" fontId="6" fillId="0" borderId="30" xfId="14" applyNumberFormat="1" applyFont="1" applyBorder="1"/>
    <xf numFmtId="165" fontId="37" fillId="0" borderId="30" xfId="14" applyNumberFormat="1" applyFont="1" applyBorder="1"/>
    <xf numFmtId="9" fontId="6" fillId="5" borderId="30" xfId="14" applyNumberFormat="1" applyFont="1" applyFill="1" applyBorder="1"/>
    <xf numFmtId="0" fontId="11" fillId="5" borderId="42" xfId="14" applyFont="1" applyFill="1" applyBorder="1"/>
    <xf numFmtId="0" fontId="1" fillId="2" borderId="42" xfId="14" applyFont="1" applyFill="1" applyBorder="1"/>
    <xf numFmtId="0" fontId="1" fillId="2" borderId="42" xfId="14" applyFont="1" applyFill="1" applyBorder="1" applyAlignment="1"/>
    <xf numFmtId="0" fontId="37" fillId="2" borderId="40" xfId="14" applyFont="1" applyFill="1" applyBorder="1" applyAlignment="1">
      <alignment horizontal="right"/>
    </xf>
    <xf numFmtId="0" fontId="11" fillId="5" borderId="53" xfId="14" applyFont="1" applyFill="1" applyBorder="1"/>
    <xf numFmtId="0" fontId="6" fillId="0" borderId="53" xfId="14" applyFont="1" applyFill="1" applyBorder="1"/>
    <xf numFmtId="0" fontId="1" fillId="2" borderId="53" xfId="14" applyFont="1" applyFill="1" applyBorder="1"/>
    <xf numFmtId="0" fontId="37" fillId="2" borderId="53" xfId="14" applyFont="1" applyFill="1" applyBorder="1" applyAlignment="1">
      <alignment horizontal="right"/>
    </xf>
    <xf numFmtId="165" fontId="23" fillId="0" borderId="15" xfId="14" applyNumberFormat="1" applyFont="1" applyBorder="1"/>
    <xf numFmtId="164" fontId="23" fillId="0" borderId="16" xfId="14" applyNumberFormat="1" applyFont="1" applyBorder="1" applyAlignment="1">
      <alignment horizontal="right"/>
    </xf>
    <xf numFmtId="0" fontId="2" fillId="2" borderId="45" xfId="14" applyFont="1" applyFill="1" applyBorder="1"/>
    <xf numFmtId="0" fontId="11" fillId="5" borderId="45" xfId="0" applyFont="1" applyFill="1" applyBorder="1"/>
    <xf numFmtId="0" fontId="1" fillId="2" borderId="40" xfId="14" applyFont="1" applyFill="1" applyBorder="1" applyAlignment="1">
      <alignment horizontal="right"/>
    </xf>
    <xf numFmtId="0" fontId="1" fillId="0" borderId="22" xfId="14" applyFont="1" applyBorder="1"/>
    <xf numFmtId="0" fontId="0" fillId="2" borderId="45" xfId="14" applyFont="1" applyFill="1" applyBorder="1"/>
    <xf numFmtId="0" fontId="34" fillId="5" borderId="127" xfId="14" applyFont="1" applyFill="1" applyBorder="1"/>
    <xf numFmtId="165" fontId="34" fillId="5" borderId="124" xfId="14" applyNumberFormat="1" applyFont="1" applyFill="1" applyBorder="1"/>
    <xf numFmtId="164" fontId="34" fillId="5" borderId="125" xfId="14" applyNumberFormat="1" applyFont="1" applyFill="1" applyBorder="1" applyAlignment="1">
      <alignment horizontal="right"/>
    </xf>
    <xf numFmtId="0" fontId="11" fillId="5" borderId="60" xfId="14" applyFont="1" applyFill="1" applyBorder="1"/>
    <xf numFmtId="0" fontId="11" fillId="5" borderId="61" xfId="14" applyFont="1" applyFill="1" applyBorder="1"/>
    <xf numFmtId="9" fontId="6" fillId="5" borderId="61" xfId="14" applyNumberFormat="1" applyFont="1" applyFill="1" applyBorder="1"/>
    <xf numFmtId="9" fontId="6" fillId="5" borderId="62" xfId="14" applyNumberFormat="1" applyFont="1" applyFill="1" applyBorder="1"/>
    <xf numFmtId="0" fontId="37" fillId="2" borderId="101" xfId="14" applyFont="1" applyFill="1" applyBorder="1" applyAlignment="1">
      <alignment horizontal="right"/>
    </xf>
    <xf numFmtId="165" fontId="37" fillId="0" borderId="15" xfId="14" applyNumberFormat="1" applyFont="1" applyBorder="1"/>
    <xf numFmtId="164" fontId="37" fillId="0" borderId="16" xfId="14" applyNumberFormat="1" applyFont="1" applyBorder="1" applyAlignment="1">
      <alignment horizontal="right"/>
    </xf>
    <xf numFmtId="165" fontId="6" fillId="0" borderId="2" xfId="14" applyNumberFormat="1" applyFont="1" applyFill="1" applyBorder="1"/>
    <xf numFmtId="165" fontId="23" fillId="0" borderId="24" xfId="14" applyNumberFormat="1" applyFont="1" applyBorder="1"/>
    <xf numFmtId="165" fontId="23" fillId="0" borderId="16" xfId="14" applyNumberFormat="1" applyFont="1" applyBorder="1"/>
    <xf numFmtId="165" fontId="23" fillId="0" borderId="102" xfId="14" applyNumberFormat="1" applyFont="1" applyBorder="1"/>
    <xf numFmtId="165" fontId="37" fillId="0" borderId="2" xfId="14" applyNumberFormat="1" applyFont="1" applyBorder="1" applyAlignment="1">
      <alignment horizontal="right"/>
    </xf>
    <xf numFmtId="0" fontId="11" fillId="5" borderId="2" xfId="0" applyFont="1" applyFill="1" applyBorder="1"/>
    <xf numFmtId="165" fontId="37" fillId="0" borderId="51" xfId="14" applyNumberFormat="1" applyFont="1" applyBorder="1" applyAlignment="1">
      <alignment horizontal="right"/>
    </xf>
    <xf numFmtId="0" fontId="11" fillId="5" borderId="117" xfId="14" applyFont="1" applyFill="1" applyBorder="1"/>
    <xf numFmtId="1" fontId="6" fillId="5" borderId="117" xfId="14" applyNumberFormat="1" applyFont="1" applyFill="1" applyBorder="1"/>
    <xf numFmtId="165" fontId="37" fillId="0" borderId="24" xfId="14" applyNumberFormat="1" applyFont="1" applyBorder="1"/>
    <xf numFmtId="0" fontId="11" fillId="5" borderId="62" xfId="14" applyFont="1" applyFill="1" applyBorder="1"/>
    <xf numFmtId="164" fontId="34" fillId="9" borderId="125" xfId="14" applyNumberFormat="1" applyFont="1" applyFill="1" applyBorder="1" applyAlignment="1">
      <alignment horizontal="right"/>
    </xf>
    <xf numFmtId="165" fontId="34" fillId="5" borderId="125" xfId="14" applyNumberFormat="1" applyFont="1" applyFill="1" applyBorder="1"/>
    <xf numFmtId="165" fontId="1" fillId="2" borderId="3" xfId="14" applyNumberFormat="1" applyFont="1" applyFill="1" applyBorder="1"/>
    <xf numFmtId="165" fontId="1" fillId="2" borderId="3" xfId="14" applyNumberFormat="1" applyFont="1" applyFill="1" applyBorder="1" applyAlignment="1"/>
    <xf numFmtId="165" fontId="11" fillId="5" borderId="3" xfId="14" applyNumberFormat="1" applyFont="1" applyFill="1" applyBorder="1"/>
    <xf numFmtId="165" fontId="37" fillId="0" borderId="18" xfId="14" applyNumberFormat="1" applyFont="1" applyBorder="1"/>
    <xf numFmtId="165" fontId="1" fillId="2" borderId="2" xfId="14" applyNumberFormat="1" applyFont="1" applyFill="1" applyBorder="1"/>
    <xf numFmtId="0" fontId="11" fillId="5" borderId="4" xfId="14" applyFont="1" applyFill="1" applyBorder="1"/>
    <xf numFmtId="0" fontId="11" fillId="5" borderId="52" xfId="14" applyFont="1" applyFill="1" applyBorder="1"/>
    <xf numFmtId="165" fontId="2" fillId="2" borderId="3" xfId="14" applyNumberFormat="1" applyFont="1" applyFill="1" applyBorder="1"/>
    <xf numFmtId="165" fontId="0" fillId="2" borderId="3" xfId="14" applyNumberFormat="1" applyFont="1" applyFill="1" applyBorder="1"/>
    <xf numFmtId="165" fontId="2" fillId="2" borderId="2" xfId="14" applyNumberFormat="1" applyFont="1" applyFill="1" applyBorder="1"/>
    <xf numFmtId="0" fontId="11" fillId="5" borderId="44" xfId="14" applyFont="1" applyFill="1" applyBorder="1"/>
    <xf numFmtId="0" fontId="11" fillId="5" borderId="31" xfId="14" applyFont="1" applyFill="1" applyBorder="1"/>
    <xf numFmtId="0" fontId="37" fillId="2" borderId="51" xfId="14" applyFont="1" applyFill="1" applyBorder="1" applyAlignment="1">
      <alignment horizontal="right"/>
    </xf>
    <xf numFmtId="0" fontId="11" fillId="5" borderId="18" xfId="14" applyFont="1" applyFill="1" applyBorder="1"/>
    <xf numFmtId="165" fontId="34" fillId="9" borderId="90" xfId="14" applyNumberFormat="1" applyFont="1" applyFill="1" applyBorder="1"/>
    <xf numFmtId="165" fontId="34" fillId="9" borderId="96" xfId="14" applyNumberFormat="1" applyFont="1" applyFill="1" applyBorder="1"/>
    <xf numFmtId="164" fontId="34" fillId="9" borderId="108" xfId="14" applyNumberFormat="1" applyFont="1" applyFill="1" applyBorder="1" applyAlignment="1">
      <alignment horizontal="right"/>
    </xf>
    <xf numFmtId="164" fontId="34" fillId="9" borderId="91" xfId="14" applyNumberFormat="1" applyFont="1" applyFill="1" applyBorder="1" applyAlignment="1">
      <alignment horizontal="right"/>
    </xf>
    <xf numFmtId="0" fontId="11" fillId="5" borderId="84" xfId="14" applyFont="1" applyFill="1" applyBorder="1"/>
    <xf numFmtId="0" fontId="34" fillId="9" borderId="89" xfId="14" applyFont="1" applyFill="1" applyBorder="1"/>
    <xf numFmtId="0" fontId="2" fillId="0" borderId="5" xfId="10" applyFont="1" applyBorder="1"/>
    <xf numFmtId="0" fontId="34" fillId="0" borderId="58" xfId="13" applyFont="1" applyBorder="1" applyAlignment="1">
      <alignment horizontal="center"/>
    </xf>
    <xf numFmtId="0" fontId="34" fillId="0" borderId="25" xfId="9" applyFont="1" applyBorder="1"/>
    <xf numFmtId="0" fontId="2" fillId="0" borderId="0" xfId="0" applyFont="1"/>
    <xf numFmtId="0" fontId="2" fillId="0" borderId="1" xfId="0" applyFont="1" applyBorder="1" applyAlignment="1">
      <alignment horizontal="left"/>
    </xf>
    <xf numFmtId="1" fontId="2" fillId="0" borderId="3" xfId="0" applyNumberFormat="1" applyFont="1" applyBorder="1"/>
    <xf numFmtId="1" fontId="2" fillId="0" borderId="2" xfId="0" applyNumberFormat="1" applyFont="1" applyBorder="1"/>
    <xf numFmtId="1" fontId="2" fillId="0" borderId="18" xfId="0" applyNumberFormat="1" applyFont="1" applyBorder="1"/>
    <xf numFmtId="1" fontId="2" fillId="0" borderId="18" xfId="0" applyNumberFormat="1" applyFont="1" applyFill="1" applyBorder="1"/>
    <xf numFmtId="164" fontId="2" fillId="0" borderId="18" xfId="26" applyNumberFormat="1" applyFont="1" applyBorder="1"/>
    <xf numFmtId="1" fontId="2" fillId="0" borderId="0" xfId="0" applyNumberFormat="1" applyFont="1"/>
    <xf numFmtId="0" fontId="0" fillId="10" borderId="1" xfId="0" applyFill="1" applyBorder="1"/>
    <xf numFmtId="0" fontId="2" fillId="10" borderId="0" xfId="0" applyFont="1" applyFill="1"/>
    <xf numFmtId="0" fontId="2" fillId="0" borderId="1" xfId="0" applyFont="1" applyBorder="1"/>
    <xf numFmtId="0" fontId="0" fillId="0" borderId="1" xfId="0" applyFont="1" applyBorder="1"/>
    <xf numFmtId="0" fontId="2" fillId="0" borderId="1" xfId="0" applyFont="1" applyFill="1" applyBorder="1" applyAlignment="1">
      <alignment horizontal="left"/>
    </xf>
    <xf numFmtId="1" fontId="2" fillId="0" borderId="3" xfId="0" applyNumberFormat="1" applyFont="1" applyFill="1" applyBorder="1" applyAlignment="1">
      <alignment horizontal="right" vertical="center"/>
    </xf>
    <xf numFmtId="1" fontId="2" fillId="0" borderId="2" xfId="0" applyNumberFormat="1" applyFont="1" applyFill="1" applyBorder="1" applyAlignment="1">
      <alignment horizontal="right" vertical="center"/>
    </xf>
    <xf numFmtId="1" fontId="2" fillId="0" borderId="18" xfId="0" applyNumberFormat="1" applyFont="1" applyFill="1" applyBorder="1" applyAlignment="1">
      <alignment horizontal="right" vertical="center"/>
    </xf>
    <xf numFmtId="0" fontId="2" fillId="0" borderId="1" xfId="0" applyFont="1" applyFill="1" applyBorder="1"/>
    <xf numFmtId="1" fontId="2" fillId="0" borderId="3" xfId="0" applyNumberFormat="1" applyFont="1" applyFill="1" applyBorder="1" applyAlignment="1">
      <alignment vertical="center"/>
    </xf>
    <xf numFmtId="1" fontId="2" fillId="0" borderId="2" xfId="0" applyNumberFormat="1" applyFont="1" applyFill="1" applyBorder="1" applyAlignment="1">
      <alignment vertical="center"/>
    </xf>
    <xf numFmtId="1" fontId="2" fillId="0" borderId="18" xfId="0" applyNumberFormat="1" applyFont="1" applyFill="1" applyBorder="1" applyAlignment="1">
      <alignment vertical="center"/>
    </xf>
    <xf numFmtId="0" fontId="0" fillId="0" borderId="1" xfId="0" applyFont="1" applyFill="1" applyBorder="1"/>
    <xf numFmtId="1" fontId="0" fillId="0" borderId="18" xfId="0" applyNumberFormat="1" applyFont="1" applyBorder="1"/>
    <xf numFmtId="1" fontId="2" fillId="0" borderId="3" xfId="0" applyNumberFormat="1" applyFont="1" applyFill="1" applyBorder="1"/>
    <xf numFmtId="1" fontId="2" fillId="0" borderId="2" xfId="0" applyNumberFormat="1" applyFont="1" applyFill="1" applyBorder="1"/>
    <xf numFmtId="164" fontId="2" fillId="0" borderId="0" xfId="0" applyNumberFormat="1" applyFont="1"/>
    <xf numFmtId="0" fontId="16" fillId="5" borderId="6" xfId="23" applyFont="1" applyFill="1" applyBorder="1" applyAlignment="1">
      <alignment horizontal="centerContinuous" vertical="center" wrapText="1"/>
    </xf>
    <xf numFmtId="0" fontId="11" fillId="0" borderId="1" xfId="23" applyFont="1" applyBorder="1" applyAlignment="1">
      <alignment horizontal="center" vertical="center"/>
    </xf>
    <xf numFmtId="165" fontId="37" fillId="0" borderId="80" xfId="14" applyNumberFormat="1" applyFont="1" applyBorder="1"/>
    <xf numFmtId="0" fontId="37" fillId="2" borderId="9" xfId="14" applyFont="1" applyFill="1" applyBorder="1" applyAlignment="1">
      <alignment horizontal="right"/>
    </xf>
    <xf numFmtId="0" fontId="1" fillId="2" borderId="9" xfId="14" applyFont="1" applyFill="1" applyBorder="1" applyAlignment="1">
      <alignment horizontal="right"/>
    </xf>
    <xf numFmtId="165" fontId="37" fillId="0" borderId="9" xfId="14" applyNumberFormat="1" applyFont="1" applyBorder="1"/>
    <xf numFmtId="164" fontId="37" fillId="0" borderId="9" xfId="14" applyNumberFormat="1" applyFont="1" applyBorder="1" applyAlignment="1">
      <alignment horizontal="right"/>
    </xf>
    <xf numFmtId="9" fontId="6" fillId="5" borderId="4" xfId="14" applyNumberFormat="1" applyFont="1" applyFill="1" applyBorder="1"/>
    <xf numFmtId="165" fontId="6" fillId="0" borderId="4" xfId="14" applyNumberFormat="1" applyFont="1" applyBorder="1"/>
    <xf numFmtId="165" fontId="37" fillId="0" borderId="36" xfId="14" applyNumberFormat="1" applyFont="1" applyBorder="1"/>
    <xf numFmtId="164" fontId="37" fillId="0" borderId="34" xfId="14" applyNumberFormat="1" applyFont="1" applyBorder="1" applyAlignment="1">
      <alignment horizontal="right"/>
    </xf>
    <xf numFmtId="165" fontId="37" fillId="0" borderId="4" xfId="14" applyNumberFormat="1" applyFont="1" applyBorder="1"/>
    <xf numFmtId="0" fontId="0" fillId="5" borderId="18" xfId="0" applyFill="1" applyBorder="1"/>
    <xf numFmtId="165" fontId="34" fillId="9" borderId="136" xfId="14" applyNumberFormat="1" applyFont="1" applyFill="1" applyBorder="1"/>
    <xf numFmtId="164" fontId="23" fillId="9" borderId="96" xfId="14" applyNumberFormat="1" applyFont="1" applyFill="1" applyBorder="1" applyAlignment="1">
      <alignment horizontal="right"/>
    </xf>
    <xf numFmtId="9" fontId="6" fillId="5" borderId="137" xfId="14" applyNumberFormat="1" applyFont="1" applyFill="1" applyBorder="1"/>
    <xf numFmtId="164" fontId="37" fillId="0" borderId="80" xfId="14" applyNumberFormat="1" applyFont="1" applyBorder="1" applyAlignment="1">
      <alignment horizontal="right"/>
    </xf>
    <xf numFmtId="165" fontId="37" fillId="0" borderId="16" xfId="14" applyNumberFormat="1" applyFont="1" applyBorder="1"/>
    <xf numFmtId="165" fontId="37" fillId="0" borderId="45" xfId="14" applyNumberFormat="1" applyFont="1" applyBorder="1"/>
    <xf numFmtId="2" fontId="6" fillId="0" borderId="0" xfId="14" applyNumberFormat="1" applyFont="1" applyBorder="1"/>
    <xf numFmtId="0" fontId="6" fillId="0" borderId="1" xfId="22" applyFont="1" applyBorder="1"/>
    <xf numFmtId="0" fontId="11" fillId="0" borderId="6" xfId="22" applyFont="1" applyBorder="1"/>
    <xf numFmtId="0" fontId="11" fillId="0" borderId="6" xfId="22" applyFont="1" applyFill="1" applyBorder="1"/>
    <xf numFmtId="0" fontId="2" fillId="0" borderId="5" xfId="22" applyFont="1" applyBorder="1"/>
    <xf numFmtId="9" fontId="6" fillId="5" borderId="138" xfId="14" applyNumberFormat="1" applyFont="1" applyFill="1" applyBorder="1"/>
    <xf numFmtId="164" fontId="34" fillId="5" borderId="139" xfId="14" applyNumberFormat="1" applyFont="1" applyFill="1" applyBorder="1" applyAlignment="1">
      <alignment horizontal="right"/>
    </xf>
    <xf numFmtId="165" fontId="2" fillId="0" borderId="5" xfId="14" applyNumberFormat="1" applyFont="1" applyBorder="1"/>
    <xf numFmtId="165" fontId="2" fillId="0" borderId="5" xfId="14" applyNumberFormat="1" applyFont="1" applyFill="1" applyBorder="1"/>
    <xf numFmtId="165" fontId="2" fillId="0" borderId="2" xfId="14" applyNumberFormat="1" applyFont="1" applyBorder="1"/>
    <xf numFmtId="165" fontId="2" fillId="0" borderId="3" xfId="14" applyNumberFormat="1" applyFont="1" applyBorder="1"/>
    <xf numFmtId="1" fontId="2" fillId="5" borderId="2" xfId="14" applyNumberFormat="1" applyFont="1" applyFill="1" applyBorder="1"/>
    <xf numFmtId="9" fontId="2" fillId="5" borderId="3" xfId="14" applyNumberFormat="1" applyFont="1" applyFill="1" applyBorder="1"/>
    <xf numFmtId="165" fontId="2" fillId="0" borderId="45" xfId="14" applyNumberFormat="1" applyFont="1" applyBorder="1"/>
    <xf numFmtId="1" fontId="2" fillId="5" borderId="5" xfId="14" applyNumberFormat="1" applyFont="1" applyFill="1" applyBorder="1"/>
    <xf numFmtId="9" fontId="2" fillId="5" borderId="5" xfId="14" applyNumberFormat="1" applyFont="1" applyFill="1" applyBorder="1"/>
    <xf numFmtId="164" fontId="23" fillId="0" borderId="52" xfId="14" applyNumberFormat="1" applyFont="1" applyBorder="1" applyAlignment="1">
      <alignment horizontal="right"/>
    </xf>
    <xf numFmtId="0" fontId="23" fillId="5" borderId="89" xfId="14" applyFont="1" applyFill="1" applyBorder="1"/>
    <xf numFmtId="165" fontId="23" fillId="5" borderId="90" xfId="14" applyNumberFormat="1" applyFont="1" applyFill="1" applyBorder="1"/>
    <xf numFmtId="165" fontId="23" fillId="5" borderId="108" xfId="14" applyNumberFormat="1" applyFont="1" applyFill="1" applyBorder="1"/>
    <xf numFmtId="164" fontId="23" fillId="5" borderId="108" xfId="14" applyNumberFormat="1" applyFont="1" applyFill="1" applyBorder="1" applyAlignment="1">
      <alignment horizontal="right"/>
    </xf>
    <xf numFmtId="164" fontId="23" fillId="5" borderId="109" xfId="14" applyNumberFormat="1" applyFont="1" applyFill="1" applyBorder="1" applyAlignment="1">
      <alignment horizontal="right"/>
    </xf>
    <xf numFmtId="165" fontId="23" fillId="9" borderId="90" xfId="14" applyNumberFormat="1" applyFont="1" applyFill="1" applyBorder="1"/>
    <xf numFmtId="0" fontId="11" fillId="0" borderId="140" xfId="14" applyFont="1" applyBorder="1" applyAlignment="1">
      <alignment horizontal="centerContinuous" vertical="center" wrapText="1"/>
    </xf>
    <xf numFmtId="0" fontId="11" fillId="0" borderId="120" xfId="14" applyFont="1" applyBorder="1" applyAlignment="1">
      <alignment horizontal="centerContinuous" vertical="center" wrapText="1"/>
    </xf>
    <xf numFmtId="0" fontId="11" fillId="0" borderId="120" xfId="14" applyFont="1" applyBorder="1" applyAlignment="1">
      <alignment horizontal="center" vertical="center" wrapText="1"/>
    </xf>
    <xf numFmtId="0" fontId="11" fillId="0" borderId="85" xfId="14" applyFont="1" applyBorder="1" applyAlignment="1">
      <alignment horizontal="centerContinuous" vertical="center" wrapText="1"/>
    </xf>
    <xf numFmtId="1" fontId="6" fillId="5" borderId="53" xfId="14" applyNumberFormat="1" applyFont="1" applyFill="1" applyBorder="1"/>
    <xf numFmtId="9" fontId="6" fillId="5" borderId="31" xfId="14" applyNumberFormat="1" applyFont="1" applyFill="1" applyBorder="1"/>
    <xf numFmtId="165" fontId="37" fillId="0" borderId="44" xfId="14" applyNumberFormat="1" applyFont="1" applyBorder="1"/>
    <xf numFmtId="1" fontId="6" fillId="5" borderId="42" xfId="14" applyNumberFormat="1" applyFont="1" applyFill="1" applyBorder="1"/>
    <xf numFmtId="9" fontId="6" fillId="5" borderId="44" xfId="14" applyNumberFormat="1" applyFont="1" applyFill="1" applyBorder="1"/>
    <xf numFmtId="165" fontId="23" fillId="0" borderId="121" xfId="14" applyNumberFormat="1" applyFont="1" applyBorder="1"/>
    <xf numFmtId="0" fontId="11" fillId="0" borderId="35" xfId="14" applyFont="1" applyBorder="1" applyAlignment="1">
      <alignment horizontal="centerContinuous" vertical="center" wrapText="1"/>
    </xf>
    <xf numFmtId="1" fontId="6" fillId="5" borderId="35" xfId="14" applyNumberFormat="1" applyFont="1" applyFill="1" applyBorder="1"/>
    <xf numFmtId="165" fontId="37" fillId="0" borderId="99" xfId="14" applyNumberFormat="1" applyFont="1" applyBorder="1"/>
    <xf numFmtId="1" fontId="6" fillId="5" borderId="45" xfId="14" applyNumberFormat="1" applyFont="1" applyFill="1" applyBorder="1"/>
    <xf numFmtId="164" fontId="23" fillId="0" borderId="88" xfId="14" applyNumberFormat="1" applyFont="1" applyBorder="1" applyAlignment="1">
      <alignment horizontal="right"/>
    </xf>
    <xf numFmtId="165" fontId="23" fillId="0" borderId="70" xfId="14" applyNumberFormat="1" applyFont="1" applyBorder="1"/>
    <xf numFmtId="165" fontId="37" fillId="0" borderId="35" xfId="14" applyNumberFormat="1" applyFont="1" applyBorder="1"/>
    <xf numFmtId="165" fontId="37" fillId="0" borderId="100" xfId="14" applyNumberFormat="1" applyFont="1" applyBorder="1"/>
    <xf numFmtId="0" fontId="0" fillId="5" borderId="45" xfId="0" applyFill="1" applyBorder="1"/>
    <xf numFmtId="165" fontId="34" fillId="5" borderId="141" xfId="14" applyNumberFormat="1" applyFont="1" applyFill="1" applyBorder="1"/>
    <xf numFmtId="0" fontId="11" fillId="0" borderId="44" xfId="14" applyFont="1" applyBorder="1" applyAlignment="1">
      <alignment horizontal="center" vertical="center" wrapText="1"/>
    </xf>
    <xf numFmtId="164" fontId="37" fillId="0" borderId="44" xfId="14" applyNumberFormat="1" applyFont="1" applyBorder="1" applyAlignment="1">
      <alignment horizontal="right"/>
    </xf>
    <xf numFmtId="164" fontId="37" fillId="0" borderId="95" xfId="14" applyNumberFormat="1" applyFont="1" applyBorder="1" applyAlignment="1">
      <alignment horizontal="right"/>
    </xf>
    <xf numFmtId="164" fontId="23" fillId="0" borderId="95" xfId="14" applyNumberFormat="1" applyFont="1" applyBorder="1" applyAlignment="1">
      <alignment horizontal="right"/>
    </xf>
    <xf numFmtId="164" fontId="34" fillId="5" borderId="142" xfId="14" applyNumberFormat="1" applyFont="1" applyFill="1" applyBorder="1" applyAlignment="1">
      <alignment horizontal="right"/>
    </xf>
    <xf numFmtId="164" fontId="23" fillId="5" borderId="96" xfId="14" applyNumberFormat="1" applyFont="1" applyFill="1" applyBorder="1" applyAlignment="1">
      <alignment horizontal="right"/>
    </xf>
    <xf numFmtId="164" fontId="23" fillId="0" borderId="116" xfId="14" applyNumberFormat="1" applyFont="1" applyBorder="1" applyAlignment="1">
      <alignment horizontal="right"/>
    </xf>
    <xf numFmtId="165" fontId="37" fillId="0" borderId="54" xfId="14" applyNumberFormat="1" applyFont="1" applyBorder="1"/>
    <xf numFmtId="165" fontId="6" fillId="0" borderId="31" xfId="14" applyNumberFormat="1" applyFont="1" applyBorder="1"/>
    <xf numFmtId="165" fontId="6" fillId="0" borderId="31" xfId="14" applyNumberFormat="1" applyFont="1" applyFill="1" applyBorder="1"/>
    <xf numFmtId="165" fontId="37" fillId="0" borderId="31" xfId="14" applyNumberFormat="1" applyFont="1" applyBorder="1"/>
    <xf numFmtId="1" fontId="6" fillId="0" borderId="31" xfId="14" applyNumberFormat="1" applyFont="1" applyFill="1" applyBorder="1"/>
    <xf numFmtId="165" fontId="23" fillId="0" borderId="14" xfId="14" applyNumberFormat="1" applyFont="1" applyBorder="1"/>
    <xf numFmtId="164" fontId="23" fillId="0" borderId="25" xfId="14" applyNumberFormat="1" applyFont="1" applyBorder="1" applyAlignment="1">
      <alignment horizontal="right"/>
    </xf>
    <xf numFmtId="0" fontId="11" fillId="0" borderId="62" xfId="14" applyFont="1" applyBorder="1" applyAlignment="1">
      <alignment horizontal="centerContinuous" vertical="center" wrapText="1"/>
    </xf>
    <xf numFmtId="165" fontId="37" fillId="0" borderId="30" xfId="14" applyNumberFormat="1" applyFont="1" applyBorder="1" applyAlignment="1">
      <alignment horizontal="right"/>
    </xf>
    <xf numFmtId="0" fontId="0" fillId="5" borderId="30" xfId="0" applyFill="1" applyBorder="1"/>
    <xf numFmtId="9" fontId="6" fillId="5" borderId="131" xfId="14" applyNumberFormat="1" applyFont="1" applyFill="1" applyBorder="1"/>
    <xf numFmtId="165" fontId="37" fillId="0" borderId="102" xfId="14" applyNumberFormat="1" applyFont="1" applyBorder="1"/>
    <xf numFmtId="165" fontId="37" fillId="0" borderId="31" xfId="14" applyNumberFormat="1" applyFont="1" applyBorder="1" applyAlignment="1">
      <alignment horizontal="right"/>
    </xf>
    <xf numFmtId="0" fontId="0" fillId="5" borderId="31" xfId="0" applyFill="1" applyBorder="1"/>
    <xf numFmtId="1" fontId="6" fillId="5" borderId="31" xfId="14" applyNumberFormat="1" applyFont="1" applyFill="1" applyBorder="1"/>
    <xf numFmtId="165" fontId="34" fillId="5" borderId="128" xfId="14" applyNumberFormat="1" applyFont="1" applyFill="1" applyBorder="1"/>
    <xf numFmtId="0" fontId="51" fillId="0" borderId="0" xfId="22" applyFont="1"/>
    <xf numFmtId="0" fontId="52" fillId="0" borderId="0" xfId="22" applyFont="1"/>
    <xf numFmtId="0" fontId="52" fillId="0" borderId="0" xfId="17" applyFont="1"/>
    <xf numFmtId="2" fontId="52" fillId="0" borderId="0" xfId="17" applyNumberFormat="1" applyFont="1"/>
    <xf numFmtId="0" fontId="2" fillId="0" borderId="35" xfId="9" applyFont="1" applyBorder="1"/>
    <xf numFmtId="0" fontId="2" fillId="0" borderId="5" xfId="9" applyFont="1" applyBorder="1"/>
    <xf numFmtId="0" fontId="2" fillId="0" borderId="35" xfId="0" applyFont="1" applyBorder="1"/>
    <xf numFmtId="0" fontId="6" fillId="0" borderId="2" xfId="0" applyFont="1" applyBorder="1"/>
    <xf numFmtId="0" fontId="6" fillId="0" borderId="3" xfId="9" applyFont="1" applyBorder="1" applyAlignment="1">
      <alignment horizontal="left"/>
    </xf>
    <xf numFmtId="0" fontId="11" fillId="0" borderId="51" xfId="9" applyFont="1" applyBorder="1" applyAlignment="1">
      <alignment horizontal="center"/>
    </xf>
    <xf numFmtId="0" fontId="6" fillId="7" borderId="51" xfId="9" applyFont="1" applyFill="1" applyBorder="1"/>
    <xf numFmtId="0" fontId="6" fillId="4" borderId="52" xfId="9" applyFont="1" applyFill="1" applyBorder="1"/>
    <xf numFmtId="0" fontId="6" fillId="0" borderId="52" xfId="9" applyFont="1" applyBorder="1"/>
    <xf numFmtId="0" fontId="6" fillId="0" borderId="51" xfId="0" applyFont="1" applyBorder="1"/>
    <xf numFmtId="0" fontId="6" fillId="0" borderId="51" xfId="9" applyFont="1" applyBorder="1"/>
    <xf numFmtId="0" fontId="6" fillId="0" borderId="52" xfId="0" applyFont="1" applyBorder="1"/>
    <xf numFmtId="0" fontId="6" fillId="5" borderId="51" xfId="9" applyFont="1" applyFill="1" applyBorder="1"/>
    <xf numFmtId="0" fontId="11" fillId="0" borderId="52" xfId="9" applyFont="1" applyBorder="1"/>
    <xf numFmtId="0" fontId="21" fillId="0" borderId="0" xfId="0" applyFont="1" applyAlignment="1"/>
    <xf numFmtId="0" fontId="6" fillId="0" borderId="3" xfId="12" applyFont="1" applyFill="1" applyBorder="1"/>
    <xf numFmtId="0" fontId="0" fillId="0" borderId="3" xfId="0" applyBorder="1" applyAlignment="1">
      <alignment horizontal="left"/>
    </xf>
    <xf numFmtId="0" fontId="2" fillId="0" borderId="3" xfId="0" applyFont="1" applyBorder="1" applyAlignment="1">
      <alignment horizontal="left"/>
    </xf>
    <xf numFmtId="0" fontId="11" fillId="0" borderId="5" xfId="10" applyFont="1" applyFill="1" applyBorder="1"/>
    <xf numFmtId="0" fontId="11" fillId="0" borderId="5" xfId="11" applyFont="1" applyFill="1" applyBorder="1"/>
    <xf numFmtId="0" fontId="2" fillId="0" borderId="4" xfId="9" applyFont="1" applyFill="1" applyBorder="1"/>
    <xf numFmtId="0" fontId="0" fillId="0" borderId="0" xfId="0" applyAlignment="1">
      <alignment wrapText="1"/>
    </xf>
    <xf numFmtId="0" fontId="43" fillId="0" borderId="51" xfId="13" applyFont="1" applyBorder="1"/>
    <xf numFmtId="0" fontId="43" fillId="0" borderId="2" xfId="13" applyFont="1" applyBorder="1"/>
    <xf numFmtId="0" fontId="34" fillId="0" borderId="5" xfId="9" applyFont="1" applyFill="1" applyBorder="1"/>
    <xf numFmtId="0" fontId="34" fillId="0" borderId="5" xfId="9" applyFont="1" applyBorder="1"/>
    <xf numFmtId="0" fontId="11" fillId="0" borderId="23" xfId="24" applyFont="1" applyBorder="1" applyAlignment="1">
      <alignment horizontal="center" vertical="center"/>
    </xf>
    <xf numFmtId="0" fontId="12" fillId="0" borderId="0" xfId="8" applyFont="1" applyFill="1" applyAlignment="1">
      <alignment horizontal="centerContinuous"/>
    </xf>
    <xf numFmtId="0" fontId="2" fillId="0" borderId="0" xfId="8" applyFont="1" applyFill="1" applyAlignment="1">
      <alignment horizontal="left"/>
    </xf>
    <xf numFmtId="0" fontId="2" fillId="0" borderId="0" xfId="8" applyFont="1" applyFill="1" applyAlignment="1">
      <alignment horizontal="right"/>
    </xf>
    <xf numFmtId="0" fontId="11" fillId="0" borderId="20" xfId="8" applyFont="1" applyFill="1" applyBorder="1"/>
    <xf numFmtId="0" fontId="11" fillId="0" borderId="20" xfId="8" applyFont="1" applyFill="1" applyBorder="1" applyAlignment="1">
      <alignment horizontal="center"/>
    </xf>
    <xf numFmtId="0" fontId="11" fillId="0" borderId="0" xfId="8" applyFont="1"/>
    <xf numFmtId="0" fontId="11" fillId="0" borderId="0" xfId="8" applyFont="1" applyFill="1"/>
    <xf numFmtId="0" fontId="11" fillId="0" borderId="0" xfId="8" applyFont="1" applyFill="1" applyAlignment="1">
      <alignment horizontal="center"/>
    </xf>
    <xf numFmtId="0" fontId="2" fillId="0" borderId="0" xfId="8" applyFont="1" applyFill="1" applyAlignment="1">
      <alignment horizontal="center"/>
    </xf>
    <xf numFmtId="0" fontId="2" fillId="0" borderId="20" xfId="8" applyFont="1" applyFill="1" applyBorder="1" applyAlignment="1">
      <alignment horizontal="left"/>
    </xf>
    <xf numFmtId="0" fontId="2" fillId="0" borderId="20" xfId="8" applyFont="1" applyFill="1" applyBorder="1" applyAlignment="1">
      <alignment horizontal="center"/>
    </xf>
    <xf numFmtId="0" fontId="2" fillId="0" borderId="0" xfId="8" applyFont="1" applyFill="1" applyAlignment="1"/>
    <xf numFmtId="0" fontId="2" fillId="0" borderId="20" xfId="8" applyFont="1" applyFill="1" applyBorder="1" applyAlignment="1">
      <alignment horizontal="right"/>
    </xf>
    <xf numFmtId="0" fontId="6" fillId="0" borderId="1" xfId="24" applyFont="1" applyFill="1" applyBorder="1" applyAlignment="1">
      <alignment horizontal="center"/>
    </xf>
    <xf numFmtId="0" fontId="6" fillId="0" borderId="2" xfId="24" applyFont="1" applyFill="1" applyBorder="1" applyAlignment="1">
      <alignment horizontal="right"/>
    </xf>
    <xf numFmtId="164" fontId="6" fillId="0" borderId="2" xfId="24" applyNumberFormat="1" applyFont="1" applyFill="1" applyBorder="1" applyAlignment="1">
      <alignment horizontal="right"/>
    </xf>
    <xf numFmtId="164" fontId="6" fillId="0" borderId="18" xfId="24" applyNumberFormat="1" applyFont="1" applyFill="1" applyBorder="1" applyAlignment="1">
      <alignment horizontal="right"/>
    </xf>
    <xf numFmtId="0" fontId="6" fillId="0" borderId="18" xfId="24" applyFont="1" applyFill="1" applyBorder="1" applyAlignment="1">
      <alignment horizontal="right"/>
    </xf>
    <xf numFmtId="0" fontId="6" fillId="0" borderId="0" xfId="24" applyFont="1" applyFill="1"/>
    <xf numFmtId="1" fontId="6" fillId="0" borderId="0" xfId="23" applyNumberFormat="1" applyFont="1"/>
    <xf numFmtId="0" fontId="16" fillId="0" borderId="156" xfId="23" applyNumberFormat="1" applyFont="1" applyBorder="1" applyAlignment="1">
      <alignment horizontal="centerContinuous" vertical="center"/>
    </xf>
    <xf numFmtId="0" fontId="16" fillId="0" borderId="9" xfId="23" applyFont="1" applyBorder="1" applyAlignment="1">
      <alignment horizontal="centerContinuous" vertical="center"/>
    </xf>
    <xf numFmtId="1" fontId="6" fillId="0" borderId="4" xfId="23" applyNumberFormat="1" applyFont="1" applyBorder="1" applyAlignment="1">
      <alignment horizontal="right"/>
    </xf>
    <xf numFmtId="1" fontId="6" fillId="0" borderId="3" xfId="23" applyNumberFormat="1" applyFont="1" applyBorder="1" applyAlignment="1">
      <alignment horizontal="right"/>
    </xf>
    <xf numFmtId="1" fontId="6" fillId="0" borderId="21" xfId="23" applyNumberFormat="1" applyFont="1" applyBorder="1" applyAlignment="1">
      <alignment horizontal="right"/>
    </xf>
    <xf numFmtId="0" fontId="16" fillId="0" borderId="157" xfId="23" applyFont="1" applyBorder="1" applyAlignment="1">
      <alignment horizontal="centerContinuous" vertical="center"/>
    </xf>
    <xf numFmtId="2" fontId="1" fillId="0" borderId="0" xfId="19" applyNumberFormat="1" applyFont="1"/>
    <xf numFmtId="2" fontId="1" fillId="0" borderId="33" xfId="19" applyNumberFormat="1" applyFont="1" applyFill="1" applyBorder="1"/>
    <xf numFmtId="0" fontId="1" fillId="0" borderId="0" xfId="19" applyFont="1"/>
    <xf numFmtId="2" fontId="1" fillId="0" borderId="5" xfId="19" applyNumberFormat="1" applyFont="1" applyFill="1" applyBorder="1"/>
    <xf numFmtId="9" fontId="1" fillId="0" borderId="38" xfId="31" applyNumberFormat="1" applyFont="1" applyBorder="1" applyAlignment="1">
      <alignment horizontal="right"/>
    </xf>
    <xf numFmtId="0" fontId="11" fillId="0" borderId="74" xfId="14" applyFont="1" applyBorder="1" applyAlignment="1">
      <alignment horizontal="centerContinuous" vertical="center" wrapText="1"/>
    </xf>
    <xf numFmtId="0" fontId="11" fillId="0" borderId="44" xfId="14" applyFont="1" applyBorder="1" applyAlignment="1">
      <alignment horizontal="centerContinuous" vertical="center" wrapText="1"/>
    </xf>
    <xf numFmtId="0" fontId="1" fillId="0" borderId="0" xfId="15" applyFont="1" applyBorder="1"/>
    <xf numFmtId="0" fontId="53" fillId="0" borderId="0" xfId="22" applyFont="1"/>
    <xf numFmtId="165" fontId="1" fillId="0" borderId="5" xfId="0" applyNumberFormat="1" applyFont="1" applyBorder="1" applyAlignment="1">
      <alignment horizontal="center"/>
    </xf>
    <xf numFmtId="0" fontId="52" fillId="0" borderId="0" xfId="22" applyFont="1" applyBorder="1"/>
    <xf numFmtId="0" fontId="51" fillId="0" borderId="0" xfId="22" applyFont="1" applyBorder="1" applyAlignment="1">
      <alignment horizontal="center"/>
    </xf>
    <xf numFmtId="0" fontId="51" fillId="0" borderId="0" xfId="22" applyFont="1" applyBorder="1" applyAlignment="1"/>
    <xf numFmtId="0" fontId="8" fillId="5" borderId="0" xfId="0" applyFont="1" applyFill="1" applyBorder="1" applyAlignment="1">
      <alignment horizontal="center"/>
    </xf>
    <xf numFmtId="0" fontId="34" fillId="0" borderId="41" xfId="9" applyFont="1" applyBorder="1"/>
    <xf numFmtId="164" fontId="34" fillId="0" borderId="74" xfId="14" applyNumberFormat="1" applyFont="1" applyBorder="1" applyAlignment="1">
      <alignment horizontal="right"/>
    </xf>
    <xf numFmtId="164" fontId="34" fillId="0" borderId="29" xfId="14" applyNumberFormat="1" applyFont="1" applyBorder="1" applyAlignment="1">
      <alignment horizontal="right"/>
    </xf>
    <xf numFmtId="164" fontId="34" fillId="0" borderId="158" xfId="14" applyNumberFormat="1" applyFont="1" applyBorder="1" applyAlignment="1">
      <alignment horizontal="right"/>
    </xf>
    <xf numFmtId="164" fontId="34" fillId="0" borderId="159" xfId="14" applyNumberFormat="1" applyFont="1" applyBorder="1" applyAlignment="1">
      <alignment horizontal="right"/>
    </xf>
    <xf numFmtId="0" fontId="34" fillId="0" borderId="35" xfId="25" applyFont="1" applyBorder="1" applyAlignment="1">
      <alignment horizontal="center"/>
    </xf>
    <xf numFmtId="0" fontId="1" fillId="0" borderId="4" xfId="12" applyFont="1" applyFill="1" applyBorder="1"/>
    <xf numFmtId="0" fontId="1" fillId="0" borderId="3" xfId="0" applyFont="1" applyBorder="1" applyAlignment="1">
      <alignment horizontal="left"/>
    </xf>
    <xf numFmtId="0" fontId="2" fillId="0" borderId="160" xfId="15" applyFont="1" applyBorder="1" applyAlignment="1">
      <alignment horizontal="right"/>
    </xf>
    <xf numFmtId="0" fontId="11" fillId="0" borderId="162" xfId="15" applyFont="1" applyFill="1" applyBorder="1" applyAlignment="1">
      <alignment horizontal="centerContinuous"/>
    </xf>
    <xf numFmtId="0" fontId="11" fillId="0" borderId="161" xfId="15" applyFont="1" applyFill="1" applyBorder="1" applyAlignment="1">
      <alignment horizontal="centerContinuous"/>
    </xf>
    <xf numFmtId="0" fontId="11" fillId="0" borderId="120" xfId="15" applyFont="1" applyFill="1" applyBorder="1" applyAlignment="1"/>
    <xf numFmtId="0" fontId="11" fillId="0" borderId="161" xfId="15" applyFont="1" applyFill="1" applyBorder="1" applyAlignment="1"/>
    <xf numFmtId="0" fontId="11" fillId="0" borderId="85" xfId="15" applyFont="1" applyFill="1" applyBorder="1" applyAlignment="1"/>
    <xf numFmtId="0" fontId="11" fillId="0" borderId="120" xfId="15" applyFont="1" applyFill="1" applyBorder="1"/>
    <xf numFmtId="0" fontId="11" fillId="0" borderId="85" xfId="15" applyFont="1" applyFill="1" applyBorder="1"/>
    <xf numFmtId="0" fontId="11" fillId="0" borderId="140" xfId="15" applyFont="1" applyFill="1" applyBorder="1"/>
    <xf numFmtId="0" fontId="11" fillId="0" borderId="161" xfId="15" applyFont="1" applyFill="1" applyBorder="1"/>
    <xf numFmtId="0" fontId="11" fillId="0" borderId="163" xfId="15" applyFont="1" applyFill="1" applyBorder="1" applyAlignment="1">
      <alignment horizontal="center"/>
    </xf>
    <xf numFmtId="0" fontId="11" fillId="0" borderId="161" xfId="15" applyFont="1" applyFill="1" applyBorder="1" applyAlignment="1">
      <alignment horizontal="center"/>
    </xf>
    <xf numFmtId="0" fontId="11" fillId="0" borderId="164" xfId="15" applyFont="1" applyBorder="1" applyAlignment="1">
      <alignment horizontal="centerContinuous"/>
    </xf>
    <xf numFmtId="0" fontId="11" fillId="0" borderId="85" xfId="15" applyFont="1" applyBorder="1" applyAlignment="1">
      <alignment horizontal="centerContinuous"/>
    </xf>
    <xf numFmtId="0" fontId="11" fillId="0" borderId="86" xfId="15" applyFont="1" applyBorder="1" applyAlignment="1">
      <alignment horizontal="centerContinuous"/>
    </xf>
    <xf numFmtId="0" fontId="17" fillId="5" borderId="87" xfId="15" applyFont="1" applyFill="1" applyBorder="1" applyAlignment="1">
      <alignment horizontal="left" wrapText="1"/>
    </xf>
    <xf numFmtId="0" fontId="19" fillId="5" borderId="70" xfId="15" applyFont="1" applyFill="1" applyBorder="1"/>
    <xf numFmtId="0" fontId="19" fillId="5" borderId="88" xfId="15" applyFont="1" applyFill="1" applyBorder="1"/>
    <xf numFmtId="0" fontId="19" fillId="5" borderId="106" xfId="15" applyFont="1" applyFill="1" applyBorder="1"/>
    <xf numFmtId="0" fontId="19" fillId="5" borderId="71" xfId="15" applyFont="1" applyFill="1" applyBorder="1"/>
    <xf numFmtId="0" fontId="19" fillId="5" borderId="165" xfId="15" applyFont="1" applyFill="1" applyBorder="1"/>
    <xf numFmtId="0" fontId="11" fillId="9" borderId="105" xfId="15" applyFont="1" applyFill="1" applyBorder="1"/>
    <xf numFmtId="0" fontId="11" fillId="9" borderId="71" xfId="15" applyFont="1" applyFill="1" applyBorder="1"/>
    <xf numFmtId="9" fontId="19" fillId="5" borderId="72" xfId="27" applyFont="1" applyFill="1" applyBorder="1"/>
    <xf numFmtId="0" fontId="34" fillId="0" borderId="166" xfId="9" applyFont="1" applyBorder="1" applyAlignment="1">
      <alignment horizontal="right"/>
    </xf>
    <xf numFmtId="164" fontId="34" fillId="0" borderId="47" xfId="14" applyNumberFormat="1" applyFont="1" applyBorder="1" applyAlignment="1">
      <alignment horizontal="right"/>
    </xf>
    <xf numFmtId="164" fontId="34" fillId="0" borderId="165" xfId="14" applyNumberFormat="1" applyFont="1" applyBorder="1" applyAlignment="1">
      <alignment horizontal="right"/>
    </xf>
    <xf numFmtId="164" fontId="34" fillId="0" borderId="55" xfId="14" applyNumberFormat="1" applyFont="1" applyBorder="1" applyAlignment="1">
      <alignment horizontal="right"/>
    </xf>
    <xf numFmtId="164" fontId="34" fillId="0" borderId="56" xfId="14" applyNumberFormat="1" applyFont="1" applyFill="1" applyBorder="1" applyAlignment="1">
      <alignment horizontal="right"/>
    </xf>
    <xf numFmtId="164" fontId="8" fillId="5" borderId="165" xfId="0" applyNumberFormat="1" applyFont="1" applyFill="1" applyBorder="1"/>
    <xf numFmtId="1" fontId="6" fillId="5" borderId="44" xfId="14" applyNumberFormat="1" applyFont="1" applyFill="1" applyBorder="1"/>
    <xf numFmtId="0" fontId="6" fillId="0" borderId="0" xfId="10" applyFont="1" applyFill="1" applyBorder="1"/>
    <xf numFmtId="0" fontId="6" fillId="0" borderId="0" xfId="10" applyFont="1" applyFill="1"/>
    <xf numFmtId="0" fontId="11" fillId="0" borderId="2" xfId="10" applyFont="1" applyFill="1" applyBorder="1" applyAlignment="1">
      <alignment horizontal="center"/>
    </xf>
    <xf numFmtId="0" fontId="54" fillId="0" borderId="0" xfId="22" applyFont="1"/>
    <xf numFmtId="0" fontId="11" fillId="0" borderId="5" xfId="14" applyFont="1" applyFill="1" applyBorder="1" applyAlignment="1">
      <alignment horizontal="centerContinuous" vertical="center" wrapText="1"/>
    </xf>
    <xf numFmtId="0" fontId="11" fillId="0" borderId="4" xfId="14" applyFont="1" applyFill="1" applyBorder="1" applyAlignment="1">
      <alignment horizontal="center" vertical="center" wrapText="1"/>
    </xf>
    <xf numFmtId="0" fontId="11" fillId="0" borderId="43" xfId="14" applyFont="1" applyFill="1" applyBorder="1" applyAlignment="1">
      <alignment horizontal="center" vertical="center" wrapText="1"/>
    </xf>
    <xf numFmtId="164" fontId="11" fillId="0" borderId="43" xfId="14" applyNumberFormat="1" applyFont="1" applyFill="1" applyBorder="1" applyAlignment="1">
      <alignment horizontal="right"/>
    </xf>
    <xf numFmtId="165" fontId="37" fillId="0" borderId="33" xfId="14" applyNumberFormat="1" applyFont="1" applyFill="1" applyBorder="1"/>
    <xf numFmtId="164" fontId="37" fillId="0" borderId="43" xfId="14" applyNumberFormat="1" applyFont="1" applyFill="1" applyBorder="1" applyAlignment="1">
      <alignment horizontal="right"/>
    </xf>
    <xf numFmtId="165" fontId="37" fillId="0" borderId="2" xfId="14" applyNumberFormat="1" applyFont="1" applyFill="1" applyBorder="1"/>
    <xf numFmtId="165" fontId="37" fillId="0" borderId="3" xfId="14" applyNumberFormat="1" applyFont="1" applyFill="1" applyBorder="1"/>
    <xf numFmtId="165" fontId="23" fillId="0" borderId="78" xfId="14" applyNumberFormat="1" applyFont="1" applyFill="1" applyBorder="1"/>
    <xf numFmtId="165" fontId="23" fillId="0" borderId="79" xfId="14" applyNumberFormat="1" applyFont="1" applyFill="1" applyBorder="1"/>
    <xf numFmtId="164" fontId="23" fillId="0" borderId="72" xfId="14" applyNumberFormat="1" applyFont="1" applyFill="1" applyBorder="1" applyAlignment="1">
      <alignment horizontal="right"/>
    </xf>
    <xf numFmtId="165" fontId="37" fillId="0" borderId="5" xfId="14" applyNumberFormat="1" applyFont="1" applyFill="1" applyBorder="1"/>
    <xf numFmtId="164" fontId="37" fillId="0" borderId="72" xfId="14" applyNumberFormat="1" applyFont="1" applyFill="1" applyBorder="1" applyAlignment="1">
      <alignment horizontal="right"/>
    </xf>
    <xf numFmtId="0" fontId="37" fillId="0" borderId="0" xfId="14" applyFont="1" applyFill="1"/>
    <xf numFmtId="2" fontId="1" fillId="0" borderId="0" xfId="14" applyNumberFormat="1" applyFont="1" applyFill="1"/>
    <xf numFmtId="165" fontId="1" fillId="0" borderId="0" xfId="14" applyNumberFormat="1" applyFont="1" applyFill="1"/>
    <xf numFmtId="0" fontId="21" fillId="0" borderId="0" xfId="14" applyFont="1" applyFill="1" applyBorder="1" applyAlignment="1">
      <alignment horizontal="center" vertical="center"/>
    </xf>
    <xf numFmtId="0" fontId="8" fillId="0" borderId="0" xfId="19" applyFont="1" applyAlignment="1">
      <alignment horizontal="center" vertical="center"/>
    </xf>
    <xf numFmtId="0" fontId="34" fillId="0" borderId="0" xfId="19" applyFont="1" applyAlignment="1">
      <alignment horizontal="center" vertical="center"/>
    </xf>
    <xf numFmtId="164" fontId="1" fillId="4" borderId="5" xfId="0" applyNumberFormat="1" applyFont="1" applyFill="1" applyBorder="1" applyAlignment="1">
      <alignment horizontal="center"/>
    </xf>
    <xf numFmtId="0" fontId="34" fillId="0" borderId="4" xfId="13" applyFont="1" applyBorder="1" applyAlignment="1">
      <alignment horizontal="center"/>
    </xf>
    <xf numFmtId="0" fontId="8" fillId="0" borderId="0" xfId="19" applyFont="1" applyBorder="1" applyAlignment="1">
      <alignment horizontal="center" vertical="center"/>
    </xf>
    <xf numFmtId="165" fontId="6" fillId="0" borderId="0" xfId="19" applyNumberFormat="1" applyFont="1"/>
    <xf numFmtId="0" fontId="6" fillId="0" borderId="13" xfId="23" applyFont="1" applyBorder="1" applyAlignment="1">
      <alignment horizontal="centerContinuous"/>
    </xf>
    <xf numFmtId="0" fontId="5" fillId="0" borderId="0" xfId="3" applyAlignment="1" applyProtection="1"/>
    <xf numFmtId="164" fontId="6" fillId="0" borderId="51" xfId="23" applyNumberFormat="1" applyFont="1" applyBorder="1" applyAlignment="1">
      <alignment horizontal="right"/>
    </xf>
    <xf numFmtId="164" fontId="6" fillId="0" borderId="65" xfId="23" applyNumberFormat="1" applyFont="1" applyBorder="1" applyAlignment="1">
      <alignment horizontal="right"/>
    </xf>
    <xf numFmtId="1" fontId="6" fillId="0" borderId="18" xfId="23" applyNumberFormat="1" applyFont="1" applyBorder="1" applyAlignment="1">
      <alignment horizontal="right"/>
    </xf>
    <xf numFmtId="1" fontId="6" fillId="0" borderId="17" xfId="23" applyNumberFormat="1" applyFont="1" applyBorder="1" applyAlignment="1">
      <alignment horizontal="right"/>
    </xf>
    <xf numFmtId="1" fontId="11" fillId="5" borderId="7" xfId="0" applyNumberFormat="1" applyFont="1" applyFill="1" applyBorder="1" applyAlignment="1">
      <alignment horizontal="center" vertical="center"/>
    </xf>
    <xf numFmtId="1" fontId="11" fillId="9" borderId="18" xfId="0" applyNumberFormat="1" applyFont="1" applyFill="1" applyBorder="1"/>
    <xf numFmtId="0" fontId="1" fillId="0" borderId="4" xfId="9" applyFont="1" applyBorder="1" applyAlignment="1">
      <alignment horizontal="left"/>
    </xf>
    <xf numFmtId="0" fontId="1" fillId="0" borderId="4" xfId="9" applyFont="1" applyBorder="1"/>
    <xf numFmtId="0" fontId="45" fillId="0" borderId="0" xfId="3" applyFont="1" applyAlignment="1" applyProtection="1">
      <alignment horizontal="center"/>
    </xf>
    <xf numFmtId="0" fontId="1" fillId="0" borderId="0" xfId="32" applyFont="1"/>
    <xf numFmtId="3" fontId="1" fillId="0" borderId="0" xfId="32" applyNumberFormat="1" applyFont="1"/>
    <xf numFmtId="0" fontId="1" fillId="0" borderId="0" xfId="32" applyFont="1" applyAlignment="1">
      <alignment horizontal="left" wrapText="1"/>
    </xf>
    <xf numFmtId="0" fontId="15" fillId="0" borderId="0" xfId="32" applyFont="1"/>
    <xf numFmtId="0" fontId="56" fillId="0" borderId="0" xfId="32" applyFont="1" applyAlignment="1">
      <alignment horizontal="right"/>
    </xf>
    <xf numFmtId="0" fontId="11" fillId="0" borderId="167" xfId="32" applyFont="1" applyBorder="1" applyAlignment="1">
      <alignment horizontal="center" wrapText="1"/>
    </xf>
    <xf numFmtId="0" fontId="11" fillId="0" borderId="167" xfId="32" applyFont="1" applyBorder="1" applyAlignment="1">
      <alignment horizontal="center"/>
    </xf>
    <xf numFmtId="0" fontId="1" fillId="5" borderId="167" xfId="32" applyFont="1" applyFill="1" applyBorder="1" applyAlignment="1">
      <alignment horizontal="left" wrapText="1"/>
    </xf>
    <xf numFmtId="0" fontId="1" fillId="5" borderId="167" xfId="32" applyFont="1" applyFill="1" applyBorder="1"/>
    <xf numFmtId="0" fontId="1" fillId="0" borderId="167" xfId="32" applyFont="1" applyBorder="1" applyAlignment="1">
      <alignment horizontal="left" wrapText="1"/>
    </xf>
    <xf numFmtId="0" fontId="1" fillId="0" borderId="167" xfId="32" applyFont="1" applyBorder="1"/>
    <xf numFmtId="0" fontId="1" fillId="0" borderId="168" xfId="32" applyFont="1" applyBorder="1"/>
    <xf numFmtId="0" fontId="1" fillId="4" borderId="167" xfId="32" applyFont="1" applyFill="1" applyBorder="1" applyAlignment="1">
      <alignment horizontal="left" wrapText="1"/>
    </xf>
    <xf numFmtId="0" fontId="1" fillId="4" borderId="167" xfId="32" applyFont="1" applyFill="1" applyBorder="1"/>
    <xf numFmtId="3" fontId="1" fillId="4" borderId="167" xfId="32" applyNumberFormat="1" applyFont="1" applyFill="1" applyBorder="1"/>
    <xf numFmtId="3" fontId="1" fillId="4" borderId="167" xfId="32" applyNumberFormat="1" applyFont="1" applyFill="1" applyBorder="1" applyAlignment="1">
      <alignment horizontal="right"/>
    </xf>
    <xf numFmtId="3" fontId="1" fillId="4" borderId="167" xfId="32" applyNumberFormat="1" applyFill="1" applyBorder="1" applyAlignment="1">
      <alignment horizontal="right"/>
    </xf>
    <xf numFmtId="3" fontId="29" fillId="4" borderId="167" xfId="32" applyNumberFormat="1" applyFont="1" applyFill="1" applyBorder="1"/>
    <xf numFmtId="0" fontId="1" fillId="4" borderId="167" xfId="32" applyFont="1" applyFill="1" applyBorder="1" applyAlignment="1">
      <alignment horizontal="right"/>
    </xf>
    <xf numFmtId="0" fontId="1" fillId="5" borderId="167" xfId="32" applyFont="1" applyFill="1" applyBorder="1" applyAlignment="1">
      <alignment horizontal="right"/>
    </xf>
    <xf numFmtId="0" fontId="1" fillId="0" borderId="167" xfId="32" applyFont="1" applyBorder="1" applyAlignment="1">
      <alignment horizontal="right"/>
    </xf>
    <xf numFmtId="3" fontId="1" fillId="0" borderId="167" xfId="32" applyNumberFormat="1" applyFont="1" applyBorder="1"/>
    <xf numFmtId="3" fontId="1" fillId="0" borderId="167" xfId="32" applyNumberFormat="1" applyBorder="1" applyAlignment="1">
      <alignment horizontal="right"/>
    </xf>
    <xf numFmtId="3" fontId="1" fillId="0" borderId="167" xfId="32" applyNumberFormat="1" applyFont="1" applyBorder="1" applyAlignment="1">
      <alignment horizontal="right"/>
    </xf>
    <xf numFmtId="3" fontId="1" fillId="0" borderId="167" xfId="32" applyNumberFormat="1" applyBorder="1" applyAlignment="1">
      <alignment horizontal="center"/>
    </xf>
    <xf numFmtId="4" fontId="1" fillId="0" borderId="167" xfId="32" applyNumberFormat="1" applyFont="1" applyBorder="1" applyAlignment="1">
      <alignment horizontal="right"/>
    </xf>
    <xf numFmtId="165" fontId="1" fillId="0" borderId="167" xfId="32" applyNumberFormat="1" applyFont="1" applyBorder="1"/>
    <xf numFmtId="165" fontId="1" fillId="0" borderId="167" xfId="32" applyNumberFormat="1" applyBorder="1" applyAlignment="1">
      <alignment horizontal="right"/>
    </xf>
    <xf numFmtId="165" fontId="1" fillId="0" borderId="167" xfId="32" applyNumberFormat="1" applyFont="1" applyBorder="1" applyAlignment="1">
      <alignment horizontal="right"/>
    </xf>
    <xf numFmtId="9" fontId="0" fillId="0" borderId="0" xfId="26" applyFont="1"/>
    <xf numFmtId="0" fontId="2" fillId="0" borderId="5" xfId="15" applyFont="1" applyFill="1" applyBorder="1"/>
    <xf numFmtId="0" fontId="2" fillId="0" borderId="7" xfId="15" applyFont="1" applyFill="1" applyBorder="1"/>
    <xf numFmtId="0" fontId="2" fillId="0" borderId="4" xfId="15" applyFont="1" applyFill="1" applyBorder="1"/>
    <xf numFmtId="0" fontId="2" fillId="0" borderId="52" xfId="15" applyFont="1" applyFill="1" applyBorder="1"/>
    <xf numFmtId="0" fontId="2" fillId="0" borderId="31" xfId="15" applyFont="1" applyFill="1" applyBorder="1"/>
    <xf numFmtId="0" fontId="2" fillId="0" borderId="51" xfId="15" applyFont="1" applyFill="1" applyBorder="1"/>
    <xf numFmtId="0" fontId="2" fillId="0" borderId="2" xfId="15" applyFont="1" applyFill="1" applyBorder="1"/>
    <xf numFmtId="0" fontId="2" fillId="0" borderId="55" xfId="15" applyFont="1" applyFill="1" applyBorder="1"/>
    <xf numFmtId="0" fontId="2" fillId="0" borderId="66" xfId="15" applyFont="1" applyFill="1" applyBorder="1"/>
    <xf numFmtId="0" fontId="2" fillId="0" borderId="56" xfId="15" applyFont="1" applyFill="1" applyBorder="1"/>
    <xf numFmtId="0" fontId="2" fillId="0" borderId="68" xfId="15" applyFont="1" applyFill="1" applyBorder="1"/>
    <xf numFmtId="0" fontId="2" fillId="0" borderId="18" xfId="15" applyFont="1" applyFill="1" applyBorder="1"/>
    <xf numFmtId="0" fontId="2" fillId="0" borderId="59" xfId="15" applyFont="1" applyFill="1" applyBorder="1" applyAlignment="1">
      <alignment horizontal="left"/>
    </xf>
    <xf numFmtId="0" fontId="57" fillId="0" borderId="0" xfId="22" applyFont="1"/>
    <xf numFmtId="0" fontId="11" fillId="0" borderId="0" xfId="22" applyFont="1"/>
    <xf numFmtId="1" fontId="6" fillId="0" borderId="2" xfId="14" applyNumberFormat="1" applyFont="1" applyFill="1" applyBorder="1"/>
    <xf numFmtId="0" fontId="11" fillId="0" borderId="168" xfId="14" applyFont="1" applyBorder="1" applyAlignment="1">
      <alignment horizontal="centerContinuous" vertical="center" wrapText="1"/>
    </xf>
    <xf numFmtId="0" fontId="11" fillId="0" borderId="168" xfId="14" applyFont="1" applyBorder="1" applyAlignment="1">
      <alignment horizontal="center" vertical="center" wrapText="1"/>
    </xf>
    <xf numFmtId="164" fontId="34" fillId="9" borderId="96" xfId="14" applyNumberFormat="1" applyFont="1" applyFill="1" applyBorder="1" applyAlignment="1">
      <alignment horizontal="right"/>
    </xf>
    <xf numFmtId="0" fontId="11" fillId="5" borderId="167" xfId="14" applyFont="1" applyFill="1" applyBorder="1"/>
    <xf numFmtId="165" fontId="1" fillId="2" borderId="167" xfId="14" applyNumberFormat="1" applyFont="1" applyFill="1" applyBorder="1"/>
    <xf numFmtId="165" fontId="6" fillId="0" borderId="167" xfId="14" applyNumberFormat="1" applyFont="1" applyBorder="1"/>
    <xf numFmtId="0" fontId="11" fillId="0" borderId="169" xfId="14" applyFont="1" applyBorder="1" applyAlignment="1">
      <alignment horizontal="center" vertical="center" wrapText="1"/>
    </xf>
    <xf numFmtId="1" fontId="2" fillId="0" borderId="167" xfId="0" applyNumberFormat="1" applyFont="1" applyBorder="1"/>
    <xf numFmtId="0" fontId="1" fillId="0" borderId="1" xfId="0" applyFont="1" applyBorder="1"/>
    <xf numFmtId="1" fontId="11" fillId="10" borderId="167" xfId="0" applyNumberFormat="1" applyFont="1" applyFill="1" applyBorder="1" applyAlignment="1">
      <alignment horizontal="centerContinuous" vertical="center"/>
    </xf>
    <xf numFmtId="1" fontId="11" fillId="10" borderId="2" xfId="0" applyNumberFormat="1" applyFont="1" applyFill="1" applyBorder="1" applyAlignment="1">
      <alignment horizontal="centerContinuous" vertical="center"/>
    </xf>
    <xf numFmtId="1" fontId="11" fillId="10" borderId="18" xfId="0" applyNumberFormat="1" applyFont="1" applyFill="1" applyBorder="1" applyAlignment="1">
      <alignment horizontal="centerContinuous" vertical="center"/>
    </xf>
    <xf numFmtId="1" fontId="11" fillId="10" borderId="7" xfId="0" applyNumberFormat="1" applyFont="1" applyFill="1" applyBorder="1" applyAlignment="1">
      <alignment horizontal="centerContinuous" vertical="center"/>
    </xf>
    <xf numFmtId="0" fontId="1" fillId="0" borderId="168" xfId="0" applyFont="1" applyBorder="1"/>
    <xf numFmtId="0" fontId="1" fillId="0" borderId="4" xfId="0" applyFont="1" applyBorder="1"/>
    <xf numFmtId="0" fontId="1" fillId="0" borderId="0" xfId="0" applyFont="1"/>
    <xf numFmtId="0" fontId="1" fillId="0" borderId="38" xfId="0" applyFont="1" applyBorder="1"/>
    <xf numFmtId="0" fontId="1" fillId="0" borderId="37" xfId="0" applyFont="1" applyBorder="1"/>
    <xf numFmtId="0" fontId="1" fillId="0" borderId="47" xfId="0" applyFont="1" applyBorder="1"/>
    <xf numFmtId="0" fontId="1" fillId="0" borderId="27" xfId="0" applyFont="1" applyBorder="1"/>
    <xf numFmtId="0" fontId="1" fillId="0" borderId="36" xfId="0" applyFont="1" applyBorder="1"/>
    <xf numFmtId="0" fontId="1" fillId="0" borderId="50" xfId="0" applyFont="1" applyBorder="1"/>
    <xf numFmtId="0" fontId="11" fillId="0" borderId="36" xfId="0" applyFont="1" applyBorder="1" applyAlignment="1">
      <alignment horizontal="center"/>
    </xf>
    <xf numFmtId="0" fontId="11" fillId="0" borderId="168" xfId="0" applyFont="1" applyBorder="1" applyAlignment="1">
      <alignment horizontal="center"/>
    </xf>
    <xf numFmtId="0" fontId="1" fillId="0" borderId="5" xfId="0" applyFont="1" applyBorder="1" applyAlignment="1">
      <alignment horizontal="right"/>
    </xf>
    <xf numFmtId="0" fontId="11" fillId="0" borderId="168" xfId="0" applyFont="1" applyBorder="1"/>
    <xf numFmtId="0" fontId="11" fillId="5" borderId="168" xfId="0" applyFont="1" applyFill="1" applyBorder="1"/>
    <xf numFmtId="9" fontId="11" fillId="5" borderId="5" xfId="31" applyFont="1" applyFill="1" applyBorder="1" applyAlignment="1">
      <alignment horizontal="right"/>
    </xf>
    <xf numFmtId="0" fontId="15" fillId="0" borderId="0" xfId="0" applyFont="1" applyFill="1" applyBorder="1"/>
    <xf numFmtId="0" fontId="1" fillId="0" borderId="33" xfId="0" applyFont="1" applyBorder="1"/>
    <xf numFmtId="0" fontId="1" fillId="4" borderId="5" xfId="0" applyFont="1" applyFill="1" applyBorder="1" applyAlignment="1">
      <alignment horizontal="right"/>
    </xf>
    <xf numFmtId="0" fontId="11" fillId="9" borderId="167" xfId="0" applyFont="1" applyFill="1" applyBorder="1"/>
    <xf numFmtId="9" fontId="11" fillId="9" borderId="167" xfId="0" applyNumberFormat="1" applyFont="1" applyFill="1" applyBorder="1"/>
    <xf numFmtId="0" fontId="8" fillId="0" borderId="126" xfId="0" applyFont="1" applyBorder="1" applyAlignment="1">
      <alignment horizontal="right"/>
    </xf>
    <xf numFmtId="0" fontId="0" fillId="0" borderId="126" xfId="0" applyBorder="1" applyAlignment="1"/>
    <xf numFmtId="0" fontId="0" fillId="0" borderId="129" xfId="0" applyBorder="1" applyAlignment="1"/>
    <xf numFmtId="0" fontId="47" fillId="0" borderId="0" xfId="0" applyFont="1" applyBorder="1" applyAlignment="1"/>
    <xf numFmtId="0" fontId="8" fillId="0" borderId="0" xfId="0" applyFont="1" applyBorder="1" applyAlignment="1">
      <alignment horizontal="center"/>
    </xf>
    <xf numFmtId="3" fontId="8" fillId="0" borderId="0" xfId="0" applyNumberFormat="1" applyFont="1" applyBorder="1" applyAlignment="1">
      <alignment horizontal="center"/>
    </xf>
    <xf numFmtId="9" fontId="8" fillId="0" borderId="0" xfId="0" applyNumberFormat="1" applyFont="1" applyBorder="1" applyAlignment="1">
      <alignment horizontal="center"/>
    </xf>
    <xf numFmtId="0" fontId="47" fillId="0" borderId="0" xfId="0" applyFont="1" applyBorder="1"/>
    <xf numFmtId="0" fontId="11" fillId="11" borderId="167" xfId="0" applyFont="1" applyFill="1" applyBorder="1" applyAlignment="1">
      <alignment horizontal="left"/>
    </xf>
    <xf numFmtId="0" fontId="1" fillId="0" borderId="167" xfId="0" applyFont="1" applyBorder="1" applyAlignment="1">
      <alignment horizontal="center"/>
    </xf>
    <xf numFmtId="9" fontId="1" fillId="0" borderId="167" xfId="0" applyNumberFormat="1" applyFont="1" applyBorder="1" applyAlignment="1">
      <alignment horizontal="center"/>
    </xf>
    <xf numFmtId="174" fontId="11" fillId="0" borderId="170" xfId="0" applyNumberFormat="1" applyFont="1" applyBorder="1" applyAlignment="1"/>
    <xf numFmtId="0" fontId="1" fillId="0" borderId="2" xfId="0" applyFont="1" applyBorder="1" applyAlignment="1"/>
    <xf numFmtId="0" fontId="11" fillId="0" borderId="167" xfId="0" applyFont="1" applyFill="1" applyBorder="1" applyAlignment="1">
      <alignment horizontal="left"/>
    </xf>
    <xf numFmtId="0" fontId="11" fillId="0" borderId="167" xfId="0" applyFont="1" applyFill="1" applyBorder="1" applyAlignment="1">
      <alignment horizontal="center"/>
    </xf>
    <xf numFmtId="0" fontId="1" fillId="0" borderId="167" xfId="0" applyFont="1" applyFill="1" applyBorder="1" applyAlignment="1">
      <alignment horizontal="center"/>
    </xf>
    <xf numFmtId="9" fontId="1" fillId="0" borderId="167" xfId="0" applyNumberFormat="1" applyFont="1" applyFill="1" applyBorder="1" applyAlignment="1">
      <alignment horizontal="center"/>
    </xf>
    <xf numFmtId="174" fontId="11" fillId="0" borderId="170" xfId="0" applyNumberFormat="1" applyFont="1" applyBorder="1" applyAlignment="1">
      <alignment horizontal="center"/>
    </xf>
    <xf numFmtId="174" fontId="11" fillId="0" borderId="2" xfId="0" applyNumberFormat="1" applyFont="1" applyBorder="1" applyAlignment="1">
      <alignment horizontal="center"/>
    </xf>
    <xf numFmtId="0" fontId="1" fillId="0" borderId="167" xfId="0" applyFont="1" applyBorder="1" applyAlignment="1">
      <alignment horizontal="left"/>
    </xf>
    <xf numFmtId="174" fontId="1" fillId="0" borderId="167" xfId="0" applyNumberFormat="1" applyFont="1" applyBorder="1" applyAlignment="1">
      <alignment horizontal="right"/>
    </xf>
    <xf numFmtId="9" fontId="1" fillId="0" borderId="167" xfId="31" applyNumberFormat="1" applyFont="1" applyBorder="1" applyAlignment="1">
      <alignment horizontal="right"/>
    </xf>
    <xf numFmtId="174" fontId="1" fillId="0" borderId="167" xfId="0" applyNumberFormat="1" applyFont="1" applyBorder="1"/>
    <xf numFmtId="174" fontId="1" fillId="0" borderId="167" xfId="0" applyNumberFormat="1" applyFont="1" applyFill="1" applyBorder="1"/>
    <xf numFmtId="0" fontId="11" fillId="0" borderId="167" xfId="0" applyFont="1" applyBorder="1" applyAlignment="1">
      <alignment horizontal="left"/>
    </xf>
    <xf numFmtId="0" fontId="11" fillId="0" borderId="167" xfId="0" applyFont="1" applyBorder="1" applyAlignment="1">
      <alignment horizontal="center"/>
    </xf>
    <xf numFmtId="174" fontId="11" fillId="0" borderId="167" xfId="0" applyNumberFormat="1" applyFont="1" applyBorder="1" applyAlignment="1">
      <alignment horizontal="right"/>
    </xf>
    <xf numFmtId="174" fontId="11" fillId="0" borderId="167" xfId="0" applyNumberFormat="1" applyFont="1" applyBorder="1"/>
    <xf numFmtId="0" fontId="1" fillId="0" borderId="0" xfId="0" applyFont="1" applyBorder="1" applyAlignment="1">
      <alignment horizontal="left"/>
    </xf>
    <xf numFmtId="0" fontId="1" fillId="0" borderId="0" xfId="0" applyFont="1" applyBorder="1" applyAlignment="1">
      <alignment horizontal="center"/>
    </xf>
    <xf numFmtId="174" fontId="1" fillId="0" borderId="0" xfId="0" applyNumberFormat="1" applyFont="1" applyBorder="1" applyAlignment="1">
      <alignment horizontal="right"/>
    </xf>
    <xf numFmtId="9" fontId="1" fillId="0" borderId="0" xfId="0" applyNumberFormat="1" applyFont="1" applyBorder="1" applyAlignment="1">
      <alignment horizontal="right"/>
    </xf>
    <xf numFmtId="174" fontId="1" fillId="0" borderId="0" xfId="0" applyNumberFormat="1" applyFont="1" applyBorder="1"/>
    <xf numFmtId="9" fontId="11" fillId="0" borderId="167" xfId="0" applyNumberFormat="1" applyFont="1" applyBorder="1" applyAlignment="1">
      <alignment horizontal="right"/>
    </xf>
    <xf numFmtId="0" fontId="1" fillId="0" borderId="167" xfId="0" quotePrefix="1" applyNumberFormat="1" applyFont="1" applyBorder="1" applyAlignment="1">
      <alignment horizontal="center"/>
    </xf>
    <xf numFmtId="0" fontId="1" fillId="0" borderId="167" xfId="0" applyNumberFormat="1" applyFont="1" applyBorder="1" applyAlignment="1">
      <alignment horizontal="center"/>
    </xf>
    <xf numFmtId="174" fontId="11" fillId="0" borderId="167" xfId="0" applyNumberFormat="1" applyFont="1" applyBorder="1" applyAlignment="1">
      <alignment horizontal="center"/>
    </xf>
    <xf numFmtId="0" fontId="47" fillId="0" borderId="14" xfId="0" applyFont="1" applyBorder="1"/>
    <xf numFmtId="174" fontId="1" fillId="0" borderId="38" xfId="0" applyNumberFormat="1" applyFont="1" applyBorder="1" applyAlignment="1">
      <alignment horizontal="right"/>
    </xf>
    <xf numFmtId="0" fontId="11" fillId="12" borderId="167" xfId="0" applyFont="1" applyFill="1" applyBorder="1" applyAlignment="1">
      <alignment horizontal="left"/>
    </xf>
    <xf numFmtId="0" fontId="11" fillId="12" borderId="167" xfId="0" applyFont="1" applyFill="1" applyBorder="1" applyAlignment="1">
      <alignment horizontal="center"/>
    </xf>
    <xf numFmtId="174" fontId="11" fillId="12" borderId="167" xfId="0" applyNumberFormat="1" applyFont="1" applyFill="1" applyBorder="1" applyAlignment="1">
      <alignment horizontal="right"/>
    </xf>
    <xf numFmtId="174" fontId="1" fillId="12" borderId="167" xfId="0" applyNumberFormat="1" applyFont="1" applyFill="1" applyBorder="1" applyAlignment="1">
      <alignment horizontal="right"/>
    </xf>
    <xf numFmtId="9" fontId="1" fillId="12" borderId="167" xfId="31" applyNumberFormat="1" applyFont="1" applyFill="1" applyBorder="1" applyAlignment="1">
      <alignment horizontal="right"/>
    </xf>
    <xf numFmtId="0" fontId="11" fillId="12" borderId="126" xfId="0" applyFont="1" applyFill="1" applyBorder="1" applyAlignment="1">
      <alignment horizontal="center"/>
    </xf>
    <xf numFmtId="174" fontId="11" fillId="12" borderId="123" xfId="0" applyNumberFormat="1" applyFont="1" applyFill="1" applyBorder="1" applyAlignment="1">
      <alignment horizontal="right"/>
    </xf>
    <xf numFmtId="1" fontId="11" fillId="12" borderId="123" xfId="0" applyNumberFormat="1" applyFont="1" applyFill="1" applyBorder="1" applyAlignment="1">
      <alignment horizontal="center"/>
    </xf>
    <xf numFmtId="174" fontId="11" fillId="12" borderId="123" xfId="0" applyNumberFormat="1" applyFont="1" applyFill="1" applyBorder="1" applyAlignment="1">
      <alignment horizontal="center"/>
    </xf>
    <xf numFmtId="174" fontId="1" fillId="12" borderId="167" xfId="0" applyNumberFormat="1" applyFont="1" applyFill="1" applyBorder="1"/>
    <xf numFmtId="174" fontId="11" fillId="12" borderId="122" xfId="0" applyNumberFormat="1" applyFont="1" applyFill="1" applyBorder="1" applyAlignment="1">
      <alignment horizontal="center"/>
    </xf>
    <xf numFmtId="0" fontId="47" fillId="0" borderId="0" xfId="0" applyFont="1" applyFill="1" applyBorder="1"/>
    <xf numFmtId="0" fontId="47" fillId="12" borderId="0" xfId="0" applyFont="1" applyFill="1" applyBorder="1"/>
    <xf numFmtId="3" fontId="1" fillId="0" borderId="0" xfId="0" applyNumberFormat="1" applyFont="1"/>
    <xf numFmtId="9" fontId="1" fillId="0" borderId="0" xfId="0" applyNumberFormat="1" applyFont="1"/>
    <xf numFmtId="0" fontId="1" fillId="0" borderId="0" xfId="0" applyFont="1" applyFill="1" applyBorder="1"/>
    <xf numFmtId="0" fontId="0" fillId="0" borderId="167" xfId="0" applyBorder="1" applyAlignment="1">
      <alignment horizontal="center"/>
    </xf>
    <xf numFmtId="0" fontId="56" fillId="0" borderId="167" xfId="0" applyFont="1" applyBorder="1" applyAlignment="1">
      <alignment horizontal="center"/>
    </xf>
    <xf numFmtId="0" fontId="0" fillId="0" borderId="0" xfId="0" applyAlignment="1">
      <alignment horizontal="center"/>
    </xf>
    <xf numFmtId="42" fontId="0" fillId="0" borderId="167" xfId="33" applyNumberFormat="1" applyFont="1" applyBorder="1"/>
    <xf numFmtId="0" fontId="0" fillId="0" borderId="167" xfId="0" applyBorder="1"/>
    <xf numFmtId="42" fontId="0" fillId="0" borderId="0" xfId="0" applyNumberFormat="1"/>
    <xf numFmtId="9" fontId="0" fillId="0" borderId="167" xfId="31" applyFont="1" applyBorder="1"/>
    <xf numFmtId="9" fontId="56" fillId="0" borderId="167" xfId="31" applyFont="1" applyBorder="1"/>
    <xf numFmtId="44" fontId="0" fillId="0" borderId="0" xfId="0" applyNumberFormat="1"/>
    <xf numFmtId="0" fontId="56" fillId="0" borderId="0" xfId="0" applyFont="1"/>
    <xf numFmtId="0" fontId="1" fillId="0" borderId="0" xfId="32" applyFont="1" applyAlignment="1">
      <alignment horizontal="centerContinuous"/>
    </xf>
    <xf numFmtId="0" fontId="1" fillId="0" borderId="0" xfId="32" applyFont="1" applyBorder="1"/>
    <xf numFmtId="0" fontId="11" fillId="5" borderId="35" xfId="32" applyFont="1" applyFill="1" applyBorder="1" applyAlignment="1">
      <alignment horizontal="center"/>
    </xf>
    <xf numFmtId="0" fontId="1" fillId="5" borderId="5" xfId="32" applyFont="1" applyFill="1" applyBorder="1" applyAlignment="1">
      <alignment horizontal="center"/>
    </xf>
    <xf numFmtId="165" fontId="1" fillId="5" borderId="168" xfId="32" applyNumberFormat="1" applyFont="1" applyFill="1" applyBorder="1" applyAlignment="1">
      <alignment horizontal="center"/>
    </xf>
    <xf numFmtId="0" fontId="1" fillId="5" borderId="168" xfId="32" applyFont="1" applyFill="1" applyBorder="1" applyAlignment="1">
      <alignment horizontal="center"/>
    </xf>
    <xf numFmtId="0" fontId="1" fillId="0" borderId="35" xfId="32" applyFont="1" applyBorder="1" applyAlignment="1">
      <alignment horizontal="center"/>
    </xf>
    <xf numFmtId="1" fontId="1" fillId="0" borderId="5" xfId="32" applyNumberFormat="1" applyFont="1" applyBorder="1" applyAlignment="1">
      <alignment horizontal="center"/>
    </xf>
    <xf numFmtId="165" fontId="1" fillId="0" borderId="168" xfId="32" applyNumberFormat="1" applyFont="1" applyBorder="1" applyAlignment="1">
      <alignment horizontal="center"/>
    </xf>
    <xf numFmtId="165" fontId="1" fillId="0" borderId="168" xfId="31" applyNumberFormat="1" applyFont="1" applyBorder="1" applyAlignment="1">
      <alignment horizontal="center"/>
    </xf>
    <xf numFmtId="165" fontId="1" fillId="0" borderId="0" xfId="31" applyNumberFormat="1" applyFont="1"/>
    <xf numFmtId="0" fontId="1" fillId="0" borderId="0" xfId="32" applyFont="1" applyFill="1"/>
    <xf numFmtId="0" fontId="11" fillId="0" borderId="76" xfId="32" applyFont="1" applyFill="1" applyBorder="1" applyAlignment="1">
      <alignment horizontal="centerContinuous" vertical="center"/>
    </xf>
    <xf numFmtId="0" fontId="11" fillId="0" borderId="2" xfId="32" applyFont="1" applyFill="1" applyBorder="1" applyAlignment="1">
      <alignment horizontal="centerContinuous" vertical="center" wrapText="1"/>
    </xf>
    <xf numFmtId="0" fontId="11" fillId="0" borderId="18" xfId="32" applyFont="1" applyFill="1" applyBorder="1" applyAlignment="1">
      <alignment horizontal="centerContinuous" vertical="center" wrapText="1"/>
    </xf>
    <xf numFmtId="0" fontId="11" fillId="5" borderId="59" xfId="32" applyFont="1" applyFill="1" applyBorder="1" applyAlignment="1">
      <alignment horizontal="centerContinuous" vertical="center"/>
    </xf>
    <xf numFmtId="0" fontId="11" fillId="5" borderId="5" xfId="32" applyFont="1" applyFill="1" applyBorder="1" applyAlignment="1">
      <alignment horizontal="centerContinuous" vertical="center" wrapText="1"/>
    </xf>
    <xf numFmtId="0" fontId="11" fillId="5" borderId="168" xfId="32" applyFont="1" applyFill="1" applyBorder="1" applyAlignment="1">
      <alignment horizontal="centerContinuous" vertical="center" wrapText="1"/>
    </xf>
    <xf numFmtId="0" fontId="11" fillId="5" borderId="7" xfId="32" applyFont="1" applyFill="1" applyBorder="1" applyAlignment="1">
      <alignment horizontal="centerContinuous" vertical="center" wrapText="1"/>
    </xf>
    <xf numFmtId="0" fontId="1" fillId="0" borderId="59" xfId="32" applyFont="1" applyFill="1" applyBorder="1"/>
    <xf numFmtId="1" fontId="1" fillId="0" borderId="5" xfId="32" applyNumberFormat="1" applyFont="1" applyFill="1" applyBorder="1"/>
    <xf numFmtId="1" fontId="1" fillId="0" borderId="168" xfId="32" applyNumberFormat="1" applyFont="1" applyFill="1" applyBorder="1"/>
    <xf numFmtId="1" fontId="1" fillId="0" borderId="7" xfId="32" applyNumberFormat="1" applyFont="1" applyFill="1" applyBorder="1"/>
    <xf numFmtId="1" fontId="11" fillId="0" borderId="7" xfId="32" applyNumberFormat="1" applyFont="1" applyFill="1" applyBorder="1"/>
    <xf numFmtId="0" fontId="1" fillId="0" borderId="59" xfId="32" applyFont="1" applyFill="1" applyBorder="1" applyAlignment="1">
      <alignment vertical="center"/>
    </xf>
    <xf numFmtId="0" fontId="11" fillId="0" borderId="59" xfId="32" applyFont="1" applyFill="1" applyBorder="1"/>
    <xf numFmtId="1" fontId="11" fillId="0" borderId="5" xfId="32" applyNumberFormat="1" applyFont="1" applyFill="1" applyBorder="1"/>
    <xf numFmtId="1" fontId="11" fillId="0" borderId="168" xfId="32" applyNumberFormat="1" applyFont="1" applyFill="1" applyBorder="1"/>
    <xf numFmtId="1" fontId="11" fillId="0" borderId="1" xfId="32" applyNumberFormat="1" applyFont="1" applyFill="1" applyBorder="1"/>
    <xf numFmtId="0" fontId="8" fillId="0" borderId="0" xfId="32" applyFont="1" applyFill="1" applyAlignment="1">
      <alignment horizontal="centerContinuous" vertical="center" wrapText="1"/>
    </xf>
    <xf numFmtId="0" fontId="1" fillId="0" borderId="0" xfId="32" applyFont="1" applyFill="1" applyBorder="1"/>
    <xf numFmtId="0" fontId="11" fillId="0" borderId="60" xfId="32" applyFont="1" applyFill="1" applyBorder="1" applyAlignment="1">
      <alignment horizontal="centerContinuous" vertical="center" wrapText="1"/>
    </xf>
    <xf numFmtId="0" fontId="11" fillId="0" borderId="117" xfId="32" applyFont="1" applyFill="1" applyBorder="1" applyAlignment="1">
      <alignment horizontal="centerContinuous" vertical="center" wrapText="1"/>
    </xf>
    <xf numFmtId="0" fontId="11" fillId="0" borderId="62" xfId="32" applyFont="1" applyFill="1" applyBorder="1" applyAlignment="1">
      <alignment horizontal="centerContinuous" vertical="center" wrapText="1"/>
    </xf>
    <xf numFmtId="0" fontId="11" fillId="5" borderId="45" xfId="32" applyFont="1" applyFill="1" applyBorder="1" applyAlignment="1">
      <alignment horizontal="left" wrapText="1"/>
    </xf>
    <xf numFmtId="0" fontId="11" fillId="5" borderId="2" xfId="32" applyFont="1" applyFill="1" applyBorder="1" applyAlignment="1">
      <alignment horizontal="centerContinuous" vertical="center" wrapText="1"/>
    </xf>
    <xf numFmtId="0" fontId="11" fillId="5" borderId="52" xfId="32" applyFont="1" applyFill="1" applyBorder="1" applyAlignment="1">
      <alignment horizontal="centerContinuous" vertical="center" wrapText="1"/>
    </xf>
    <xf numFmtId="0" fontId="1" fillId="0" borderId="35" xfId="32" applyFont="1" applyFill="1" applyBorder="1"/>
    <xf numFmtId="0" fontId="1" fillId="0" borderId="5" xfId="32" applyFont="1" applyFill="1" applyBorder="1"/>
    <xf numFmtId="0" fontId="1" fillId="0" borderId="52" xfId="32" applyFont="1" applyFill="1" applyBorder="1"/>
    <xf numFmtId="0" fontId="11" fillId="0" borderId="63" xfId="32" applyFont="1" applyFill="1" applyBorder="1"/>
    <xf numFmtId="0" fontId="11" fillId="0" borderId="64" xfId="32" applyFont="1" applyFill="1" applyBorder="1"/>
    <xf numFmtId="0" fontId="11" fillId="0" borderId="17" xfId="32" applyFont="1" applyFill="1" applyBorder="1"/>
    <xf numFmtId="0" fontId="15" fillId="0" borderId="0" xfId="32" applyFont="1" applyAlignment="1">
      <alignment horizontal="centerContinuous"/>
    </xf>
    <xf numFmtId="0" fontId="11" fillId="0" borderId="60" xfId="32" applyFont="1" applyBorder="1" applyAlignment="1">
      <alignment horizontal="center"/>
    </xf>
    <xf numFmtId="0" fontId="11" fillId="0" borderId="117" xfId="32" applyFont="1" applyBorder="1" applyAlignment="1">
      <alignment horizontal="center"/>
    </xf>
    <xf numFmtId="0" fontId="11" fillId="0" borderId="58" xfId="32" applyFont="1" applyBorder="1" applyAlignment="1">
      <alignment horizontal="center"/>
    </xf>
    <xf numFmtId="0" fontId="11" fillId="5" borderId="168" xfId="32" applyFont="1" applyFill="1" applyBorder="1" applyAlignment="1">
      <alignment horizontal="center"/>
    </xf>
    <xf numFmtId="0" fontId="11" fillId="5" borderId="7" xfId="32" applyFont="1" applyFill="1" applyBorder="1" applyAlignment="1">
      <alignment horizontal="center"/>
    </xf>
    <xf numFmtId="0" fontId="1" fillId="0" borderId="35" xfId="32" applyFont="1" applyBorder="1"/>
    <xf numFmtId="0" fontId="1" fillId="0" borderId="7" xfId="32" applyFont="1" applyBorder="1"/>
    <xf numFmtId="0" fontId="11" fillId="0" borderId="101" xfId="32" applyFont="1" applyBorder="1"/>
    <xf numFmtId="0" fontId="11" fillId="0" borderId="15" xfId="32" applyFont="1" applyBorder="1"/>
    <xf numFmtId="0" fontId="11" fillId="0" borderId="16" xfId="32" applyFont="1" applyBorder="1"/>
    <xf numFmtId="0" fontId="1" fillId="0" borderId="33" xfId="32" applyFont="1" applyBorder="1"/>
    <xf numFmtId="0" fontId="1" fillId="0" borderId="36" xfId="32" applyFont="1" applyBorder="1"/>
    <xf numFmtId="0" fontId="1" fillId="0" borderId="22" xfId="32" applyFont="1" applyBorder="1"/>
    <xf numFmtId="0" fontId="11" fillId="0" borderId="2" xfId="32" applyFont="1" applyBorder="1" applyAlignment="1">
      <alignment horizontal="center"/>
    </xf>
    <xf numFmtId="0" fontId="1" fillId="5" borderId="168" xfId="32" applyFont="1" applyFill="1" applyBorder="1"/>
    <xf numFmtId="0" fontId="1" fillId="5" borderId="5" xfId="32" applyFont="1" applyFill="1" applyBorder="1"/>
    <xf numFmtId="42" fontId="1" fillId="0" borderId="5" xfId="32" applyNumberFormat="1" applyFont="1" applyBorder="1"/>
    <xf numFmtId="42" fontId="1" fillId="0" borderId="2" xfId="32" applyNumberFormat="1" applyFont="1" applyBorder="1"/>
    <xf numFmtId="0" fontId="15" fillId="0" borderId="0" xfId="32" applyFont="1" applyBorder="1" applyAlignment="1">
      <alignment horizontal="left" wrapText="1"/>
    </xf>
    <xf numFmtId="0" fontId="21" fillId="0" borderId="0" xfId="32" applyFont="1" applyAlignment="1">
      <alignment horizontal="centerContinuous" vertical="center" wrapText="1"/>
    </xf>
    <xf numFmtId="0" fontId="1" fillId="0" borderId="0" xfId="32" applyFont="1" applyAlignment="1">
      <alignment horizontal="centerContinuous" vertical="center"/>
    </xf>
    <xf numFmtId="0" fontId="1" fillId="0" borderId="0" xfId="32" applyFont="1" applyAlignment="1"/>
    <xf numFmtId="0" fontId="1" fillId="0" borderId="0" xfId="32" applyFont="1" applyAlignment="1">
      <alignment horizontal="right"/>
    </xf>
    <xf numFmtId="0" fontId="11" fillId="0" borderId="167" xfId="32" applyFont="1" applyBorder="1" applyAlignment="1">
      <alignment horizontal="centerContinuous" vertical="center" wrapText="1"/>
    </xf>
    <xf numFmtId="0" fontId="11" fillId="0" borderId="2" xfId="32" applyFont="1" applyBorder="1" applyAlignment="1">
      <alignment horizontal="centerContinuous" vertical="center" wrapText="1"/>
    </xf>
    <xf numFmtId="0" fontId="1" fillId="0" borderId="50" xfId="32" applyFont="1" applyBorder="1"/>
    <xf numFmtId="0" fontId="11" fillId="5" borderId="5" xfId="32" applyFont="1" applyFill="1" applyBorder="1" applyAlignment="1">
      <alignment horizontal="center"/>
    </xf>
    <xf numFmtId="0" fontId="11" fillId="0" borderId="168" xfId="32" applyFont="1" applyBorder="1" applyAlignment="1">
      <alignment horizontal="center"/>
    </xf>
    <xf numFmtId="42" fontId="1" fillId="0" borderId="5" xfId="32" applyNumberFormat="1" applyFont="1" applyBorder="1" applyAlignment="1">
      <alignment horizontal="right"/>
    </xf>
    <xf numFmtId="42" fontId="1" fillId="0" borderId="168" xfId="32" applyNumberFormat="1" applyFont="1" applyBorder="1" applyAlignment="1">
      <alignment horizontal="right"/>
    </xf>
    <xf numFmtId="9" fontId="1" fillId="0" borderId="50" xfId="31" applyFont="1" applyBorder="1"/>
    <xf numFmtId="42" fontId="1" fillId="0" borderId="2" xfId="32" applyNumberFormat="1" applyFont="1" applyBorder="1" applyAlignment="1">
      <alignment horizontal="right"/>
    </xf>
    <xf numFmtId="42" fontId="1" fillId="0" borderId="167" xfId="32" applyNumberFormat="1" applyFont="1" applyBorder="1" applyAlignment="1">
      <alignment horizontal="right"/>
    </xf>
    <xf numFmtId="42" fontId="1" fillId="0" borderId="50" xfId="31" applyNumberFormat="1" applyFont="1" applyBorder="1"/>
    <xf numFmtId="42" fontId="1" fillId="0" borderId="0" xfId="31" applyNumberFormat="1" applyFont="1" applyBorder="1"/>
    <xf numFmtId="0" fontId="15" fillId="0" borderId="0" xfId="32" applyFont="1" applyBorder="1" applyAlignment="1">
      <alignment horizontal="centerContinuous" vertical="center" wrapText="1"/>
    </xf>
    <xf numFmtId="37" fontId="1" fillId="0" borderId="0" xfId="32" applyNumberFormat="1" applyFont="1" applyBorder="1"/>
    <xf numFmtId="0" fontId="1" fillId="0" borderId="0" xfId="32" applyBorder="1"/>
    <xf numFmtId="37" fontId="1" fillId="0" borderId="0" xfId="32" applyNumberFormat="1" applyBorder="1"/>
    <xf numFmtId="0" fontId="1" fillId="0" borderId="0" xfId="32"/>
    <xf numFmtId="37" fontId="1" fillId="0" borderId="44" xfId="32" applyNumberFormat="1" applyBorder="1"/>
    <xf numFmtId="37" fontId="1" fillId="0" borderId="0" xfId="32" applyNumberFormat="1"/>
    <xf numFmtId="0" fontId="11" fillId="0" borderId="0" xfId="32" applyFont="1" applyBorder="1"/>
    <xf numFmtId="37" fontId="11" fillId="0" borderId="0" xfId="32" applyNumberFormat="1" applyFont="1" applyBorder="1"/>
    <xf numFmtId="0" fontId="9" fillId="0" borderId="0" xfId="32" applyFont="1" applyAlignment="1">
      <alignment horizontal="centerContinuous"/>
    </xf>
    <xf numFmtId="0" fontId="9" fillId="0" borderId="0" xfId="32" applyNumberFormat="1" applyFont="1" applyAlignment="1">
      <alignment horizontal="centerContinuous"/>
    </xf>
    <xf numFmtId="3" fontId="1" fillId="0" borderId="0" xfId="32" applyNumberFormat="1" applyFont="1" applyAlignment="1">
      <alignment horizontal="centerContinuous"/>
    </xf>
    <xf numFmtId="0" fontId="11" fillId="0" borderId="33" xfId="32" applyFont="1" applyBorder="1" applyAlignment="1">
      <alignment horizontal="center"/>
    </xf>
    <xf numFmtId="3" fontId="11" fillId="0" borderId="36" xfId="32" applyNumberFormat="1" applyFont="1" applyBorder="1" applyAlignment="1">
      <alignment horizontal="center"/>
    </xf>
    <xf numFmtId="3" fontId="11" fillId="0" borderId="50" xfId="32" applyNumberFormat="1" applyFont="1" applyBorder="1" applyAlignment="1">
      <alignment horizontal="center"/>
    </xf>
    <xf numFmtId="0" fontId="11" fillId="0" borderId="0" xfId="32" applyFont="1" applyBorder="1" applyAlignment="1">
      <alignment horizontal="center"/>
    </xf>
    <xf numFmtId="0" fontId="11" fillId="0" borderId="44" xfId="32" applyFont="1" applyBorder="1"/>
    <xf numFmtId="0" fontId="11" fillId="0" borderId="5" xfId="32" applyFont="1" applyBorder="1" applyAlignment="1">
      <alignment horizontal="center"/>
    </xf>
    <xf numFmtId="3" fontId="11" fillId="0" borderId="168" xfId="32" applyNumberFormat="1" applyFont="1" applyBorder="1" applyAlignment="1">
      <alignment horizontal="center"/>
    </xf>
    <xf numFmtId="3" fontId="11" fillId="0" borderId="169" xfId="32" applyNumberFormat="1" applyFont="1" applyBorder="1" applyAlignment="1">
      <alignment horizontal="center"/>
    </xf>
    <xf numFmtId="0" fontId="11" fillId="0" borderId="44" xfId="32" applyFont="1" applyBorder="1" applyAlignment="1">
      <alignment horizontal="left"/>
    </xf>
    <xf numFmtId="0" fontId="1" fillId="0" borderId="44" xfId="32" applyFont="1" applyBorder="1"/>
    <xf numFmtId="0" fontId="11" fillId="0" borderId="0" xfId="32" applyFont="1"/>
    <xf numFmtId="0" fontId="11" fillId="0" borderId="37" xfId="32" applyFont="1" applyBorder="1" applyAlignment="1">
      <alignment horizontal="center"/>
    </xf>
    <xf numFmtId="3" fontId="11" fillId="0" borderId="37" xfId="32" applyNumberFormat="1" applyFont="1" applyBorder="1" applyAlignment="1">
      <alignment horizontal="center"/>
    </xf>
    <xf numFmtId="0" fontId="1" fillId="0" borderId="37" xfId="32" applyFont="1" applyBorder="1"/>
    <xf numFmtId="3" fontId="1" fillId="0" borderId="0" xfId="32" applyNumberFormat="1" applyFont="1" applyBorder="1"/>
    <xf numFmtId="0" fontId="1" fillId="0" borderId="0" xfId="32" applyFont="1" applyBorder="1" applyAlignment="1">
      <alignment horizontal="centerContinuous"/>
    </xf>
    <xf numFmtId="0" fontId="1" fillId="0" borderId="0" xfId="32" applyNumberFormat="1" applyFont="1" applyBorder="1" applyAlignment="1">
      <alignment horizontal="centerContinuous"/>
    </xf>
    <xf numFmtId="3" fontId="1" fillId="0" borderId="0" xfId="32" applyNumberFormat="1" applyFont="1" applyBorder="1" applyAlignment="1">
      <alignment horizontal="centerContinuous"/>
    </xf>
    <xf numFmtId="0" fontId="1" fillId="0" borderId="0" xfId="32" applyFont="1" applyBorder="1" applyAlignment="1">
      <alignment horizontal="center"/>
    </xf>
    <xf numFmtId="0" fontId="1" fillId="0" borderId="0" xfId="32" applyFont="1" applyBorder="1" applyAlignment="1">
      <alignment horizontal="left"/>
    </xf>
    <xf numFmtId="0" fontId="11" fillId="11" borderId="170" xfId="0" applyFont="1" applyFill="1" applyBorder="1" applyAlignment="1">
      <alignment horizontal="left"/>
    </xf>
    <xf numFmtId="0" fontId="9" fillId="0" borderId="0" xfId="0" applyFont="1" applyAlignment="1">
      <alignment horizontal="center"/>
    </xf>
    <xf numFmtId="0" fontId="23" fillId="0" borderId="0" xfId="0" applyFont="1" applyFill="1"/>
    <xf numFmtId="0" fontId="0" fillId="0" borderId="0" xfId="0" applyBorder="1" applyAlignment="1">
      <alignment horizontal="center"/>
    </xf>
    <xf numFmtId="0" fontId="23" fillId="0" borderId="0" xfId="0" applyFont="1" applyBorder="1" applyAlignment="1">
      <alignment horizontal="center" vertical="center"/>
    </xf>
    <xf numFmtId="0" fontId="14" fillId="0" borderId="0" xfId="0" applyFont="1" applyAlignment="1">
      <alignment horizontal="center" vertical="center"/>
    </xf>
    <xf numFmtId="0" fontId="8" fillId="0" borderId="0" xfId="24" applyFont="1" applyAlignment="1">
      <alignment horizontal="center" vertical="center"/>
    </xf>
    <xf numFmtId="0" fontId="11" fillId="0" borderId="53" xfId="24" applyFont="1" applyBorder="1" applyAlignment="1">
      <alignment horizontal="center" vertical="center"/>
    </xf>
    <xf numFmtId="0" fontId="11" fillId="0" borderId="49" xfId="24" applyFont="1" applyBorder="1" applyAlignment="1">
      <alignment horizontal="center" vertical="center"/>
    </xf>
    <xf numFmtId="0" fontId="11" fillId="0" borderId="143" xfId="24" applyFont="1" applyBorder="1" applyAlignment="1">
      <alignment horizontal="center" vertical="center"/>
    </xf>
    <xf numFmtId="0" fontId="11" fillId="0" borderId="31" xfId="24" applyFont="1" applyBorder="1" applyAlignment="1">
      <alignment horizontal="center" vertical="center"/>
    </xf>
    <xf numFmtId="0" fontId="14" fillId="0" borderId="0" xfId="23" applyFont="1" applyBorder="1" applyAlignment="1">
      <alignment horizontal="center"/>
    </xf>
    <xf numFmtId="0" fontId="8" fillId="0" borderId="0" xfId="0" applyFont="1" applyAlignment="1">
      <alignment horizontal="center"/>
    </xf>
    <xf numFmtId="0" fontId="11" fillId="2" borderId="134" xfId="0" applyFont="1" applyFill="1" applyBorder="1" applyAlignment="1">
      <alignment horizontal="center" vertical="center" wrapText="1"/>
    </xf>
    <xf numFmtId="0" fontId="11" fillId="2" borderId="133" xfId="0" applyFont="1" applyFill="1" applyBorder="1" applyAlignment="1">
      <alignment horizontal="center" vertical="center" wrapText="1"/>
    </xf>
    <xf numFmtId="0" fontId="11" fillId="2" borderId="58" xfId="0" applyFont="1" applyFill="1" applyBorder="1" applyAlignment="1">
      <alignment horizontal="center" vertical="center" wrapText="1"/>
    </xf>
    <xf numFmtId="0" fontId="11" fillId="0" borderId="42" xfId="24" applyFont="1" applyBorder="1" applyAlignment="1">
      <alignment horizontal="center" vertical="center"/>
    </xf>
    <xf numFmtId="0" fontId="11" fillId="0" borderId="154" xfId="24" applyFont="1" applyBorder="1" applyAlignment="1">
      <alignment horizontal="center" vertical="center"/>
    </xf>
    <xf numFmtId="0" fontId="11" fillId="0" borderId="155" xfId="24" applyFont="1" applyBorder="1" applyAlignment="1">
      <alignment horizontal="center" vertical="center"/>
    </xf>
    <xf numFmtId="0" fontId="11" fillId="0" borderId="145" xfId="24" applyFont="1" applyBorder="1" applyAlignment="1">
      <alignment horizontal="center" vertical="center"/>
    </xf>
    <xf numFmtId="0" fontId="11" fillId="0" borderId="134" xfId="15" applyFont="1" applyFill="1" applyBorder="1" applyAlignment="1">
      <alignment horizontal="center"/>
    </xf>
    <xf numFmtId="0" fontId="11" fillId="0" borderId="130" xfId="15" applyFont="1" applyFill="1" applyBorder="1" applyAlignment="1">
      <alignment horizontal="center"/>
    </xf>
    <xf numFmtId="0" fontId="11" fillId="0" borderId="132" xfId="15" applyFont="1" applyFill="1" applyBorder="1" applyAlignment="1">
      <alignment horizontal="center"/>
    </xf>
    <xf numFmtId="0" fontId="11" fillId="0" borderId="97" xfId="15" applyFont="1" applyFill="1" applyBorder="1" applyAlignment="1">
      <alignment horizontal="center"/>
    </xf>
    <xf numFmtId="0" fontId="11" fillId="0" borderId="144" xfId="15" applyFont="1" applyFill="1" applyBorder="1" applyAlignment="1">
      <alignment horizontal="center"/>
    </xf>
    <xf numFmtId="0" fontId="11" fillId="0" borderId="32" xfId="15" applyFont="1" applyFill="1" applyBorder="1" applyAlignment="1">
      <alignment horizontal="center"/>
    </xf>
    <xf numFmtId="0" fontId="11" fillId="0" borderId="18" xfId="15" applyFont="1" applyFill="1" applyBorder="1" applyAlignment="1">
      <alignment horizontal="center"/>
    </xf>
    <xf numFmtId="0" fontId="11" fillId="0" borderId="42" xfId="15" applyFont="1" applyFill="1" applyBorder="1" applyAlignment="1">
      <alignment horizontal="center"/>
    </xf>
    <xf numFmtId="0" fontId="11" fillId="0" borderId="145" xfId="15" applyFont="1" applyFill="1" applyBorder="1" applyAlignment="1">
      <alignment horizontal="center"/>
    </xf>
    <xf numFmtId="0" fontId="8" fillId="5" borderId="123" xfId="0" applyFont="1" applyFill="1" applyBorder="1" applyAlignment="1">
      <alignment horizontal="center"/>
    </xf>
    <xf numFmtId="0" fontId="8" fillId="5" borderId="126" xfId="0" applyFont="1" applyFill="1" applyBorder="1" applyAlignment="1">
      <alignment horizontal="center"/>
    </xf>
    <xf numFmtId="0" fontId="8" fillId="5" borderId="129" xfId="0" applyFont="1" applyFill="1" applyBorder="1" applyAlignment="1">
      <alignment horizontal="center"/>
    </xf>
    <xf numFmtId="0" fontId="21" fillId="0" borderId="0" xfId="14" applyFont="1" applyAlignment="1">
      <alignment horizontal="center"/>
    </xf>
    <xf numFmtId="0" fontId="1" fillId="0" borderId="0" xfId="14" applyFont="1" applyAlignment="1">
      <alignment horizontal="left"/>
    </xf>
    <xf numFmtId="0" fontId="11" fillId="0" borderId="73" xfId="14" applyFont="1" applyBorder="1" applyAlignment="1">
      <alignment horizontal="center" vertical="center" wrapText="1"/>
    </xf>
    <xf numFmtId="0" fontId="11" fillId="0" borderId="146" xfId="14" applyFont="1" applyBorder="1" applyAlignment="1">
      <alignment horizontal="center" vertical="center" wrapText="1"/>
    </xf>
    <xf numFmtId="0" fontId="1" fillId="0" borderId="0" xfId="14" applyFont="1" applyFill="1" applyBorder="1" applyAlignment="1">
      <alignment horizontal="left"/>
    </xf>
    <xf numFmtId="0" fontId="11" fillId="0" borderId="53" xfId="14" applyFont="1" applyBorder="1" applyAlignment="1">
      <alignment horizontal="center" vertical="center" wrapText="1"/>
    </xf>
    <xf numFmtId="0" fontId="11" fillId="0" borderId="31" xfId="14" applyFont="1" applyBorder="1" applyAlignment="1">
      <alignment horizontal="center" vertical="center" wrapText="1"/>
    </xf>
    <xf numFmtId="0" fontId="11" fillId="0" borderId="18" xfId="14" applyFont="1" applyBorder="1" applyAlignment="1">
      <alignment horizontal="center" vertical="center" wrapText="1"/>
    </xf>
    <xf numFmtId="0" fontId="8" fillId="0" borderId="0" xfId="17" applyFont="1" applyAlignment="1">
      <alignment horizontal="center"/>
    </xf>
    <xf numFmtId="0" fontId="8" fillId="0" borderId="0" xfId="15" applyFont="1" applyAlignment="1">
      <alignment horizontal="center" vertical="center"/>
    </xf>
    <xf numFmtId="0" fontId="11" fillId="0" borderId="140" xfId="15" applyFont="1" applyFill="1" applyBorder="1" applyAlignment="1">
      <alignment horizontal="center"/>
    </xf>
    <xf numFmtId="0" fontId="11" fillId="0" borderId="161" xfId="15" applyFont="1" applyFill="1" applyBorder="1" applyAlignment="1">
      <alignment horizontal="center"/>
    </xf>
    <xf numFmtId="0" fontId="11" fillId="0" borderId="163" xfId="15" applyFont="1" applyFill="1" applyBorder="1" applyAlignment="1">
      <alignment horizontal="center"/>
    </xf>
    <xf numFmtId="0" fontId="11" fillId="0" borderId="86" xfId="15" applyFont="1" applyFill="1" applyBorder="1" applyAlignment="1">
      <alignment horizontal="center"/>
    </xf>
    <xf numFmtId="0" fontId="11" fillId="0" borderId="67" xfId="14" applyFont="1" applyBorder="1" applyAlignment="1">
      <alignment horizontal="center" vertical="center" wrapText="1"/>
    </xf>
    <xf numFmtId="0" fontId="8" fillId="5" borderId="147" xfId="0" applyFont="1" applyFill="1" applyBorder="1" applyAlignment="1">
      <alignment horizontal="center"/>
    </xf>
    <xf numFmtId="0" fontId="8" fillId="5" borderId="141" xfId="0" applyFont="1" applyFill="1" applyBorder="1" applyAlignment="1">
      <alignment horizontal="center"/>
    </xf>
    <xf numFmtId="0" fontId="8" fillId="5" borderId="91" xfId="0" applyFont="1" applyFill="1" applyBorder="1" applyAlignment="1">
      <alignment horizontal="center"/>
    </xf>
    <xf numFmtId="0" fontId="11" fillId="0" borderId="31" xfId="14" applyFont="1" applyFill="1" applyBorder="1" applyAlignment="1">
      <alignment horizontal="center" vertical="center" wrapText="1"/>
    </xf>
    <xf numFmtId="0" fontId="11" fillId="0" borderId="67" xfId="14" applyFont="1" applyFill="1" applyBorder="1" applyAlignment="1">
      <alignment horizontal="center" vertical="center" wrapText="1"/>
    </xf>
    <xf numFmtId="0" fontId="11" fillId="0" borderId="2" xfId="14" applyFont="1" applyBorder="1" applyAlignment="1">
      <alignment horizontal="center" vertical="center" wrapText="1"/>
    </xf>
    <xf numFmtId="0" fontId="11" fillId="0" borderId="3" xfId="14" applyFont="1" applyBorder="1" applyAlignment="1">
      <alignment horizontal="center" vertical="center" wrapText="1"/>
    </xf>
    <xf numFmtId="0" fontId="11" fillId="0" borderId="51" xfId="14" applyFont="1" applyBorder="1" applyAlignment="1">
      <alignment horizontal="center" vertical="center" wrapText="1"/>
    </xf>
    <xf numFmtId="0" fontId="11" fillId="0" borderId="40" xfId="14" applyFont="1" applyBorder="1" applyAlignment="1">
      <alignment horizontal="center" vertical="center" wrapText="1"/>
    </xf>
    <xf numFmtId="0" fontId="11" fillId="0" borderId="148" xfId="14" applyFont="1" applyBorder="1" applyAlignment="1">
      <alignment horizontal="center" vertical="center" wrapText="1"/>
    </xf>
    <xf numFmtId="0" fontId="11" fillId="0" borderId="35" xfId="14" applyFont="1" applyBorder="1" applyAlignment="1">
      <alignment horizontal="center" vertical="center" wrapText="1"/>
    </xf>
    <xf numFmtId="0" fontId="11" fillId="0" borderId="45" xfId="14" applyFont="1" applyBorder="1" applyAlignment="1">
      <alignment horizontal="center" vertical="center" wrapText="1"/>
    </xf>
    <xf numFmtId="0" fontId="11" fillId="0" borderId="30" xfId="14" applyFont="1" applyBorder="1" applyAlignment="1">
      <alignment horizontal="center" vertical="center" wrapText="1"/>
    </xf>
    <xf numFmtId="0" fontId="1" fillId="0" borderId="0" xfId="14" applyFont="1" applyFill="1" applyAlignment="1">
      <alignment horizontal="left"/>
    </xf>
    <xf numFmtId="0" fontId="8" fillId="0" borderId="0" xfId="16" applyFont="1" applyAlignment="1">
      <alignment horizontal="center"/>
    </xf>
    <xf numFmtId="0" fontId="11" fillId="0" borderId="31" xfId="22" applyFont="1" applyBorder="1" applyAlignment="1">
      <alignment horizontal="center"/>
    </xf>
    <xf numFmtId="0" fontId="11" fillId="0" borderId="18" xfId="22" applyFont="1" applyBorder="1" applyAlignment="1">
      <alignment horizontal="center"/>
    </xf>
    <xf numFmtId="0" fontId="21" fillId="0" borderId="0" xfId="22" applyFont="1" applyBorder="1" applyAlignment="1">
      <alignment horizontal="center"/>
    </xf>
    <xf numFmtId="0" fontId="11" fillId="0" borderId="32" xfId="22" applyFont="1" applyBorder="1" applyAlignment="1">
      <alignment horizontal="center"/>
    </xf>
    <xf numFmtId="0" fontId="21" fillId="0" borderId="0" xfId="0" applyFont="1" applyAlignment="1">
      <alignment horizontal="center"/>
    </xf>
    <xf numFmtId="0" fontId="8" fillId="5" borderId="149" xfId="0" applyFont="1" applyFill="1" applyBorder="1" applyAlignment="1">
      <alignment horizontal="center"/>
    </xf>
    <xf numFmtId="0" fontId="8" fillId="5" borderId="20" xfId="0" applyFont="1" applyFill="1" applyBorder="1" applyAlignment="1">
      <alignment horizontal="center"/>
    </xf>
    <xf numFmtId="0" fontId="11" fillId="0" borderId="144" xfId="9" applyFont="1" applyBorder="1" applyAlignment="1">
      <alignment horizontal="center"/>
    </xf>
    <xf numFmtId="0" fontId="11" fillId="0" borderId="32" xfId="9" applyFont="1" applyBorder="1" applyAlignment="1">
      <alignment horizontal="center"/>
    </xf>
    <xf numFmtId="0" fontId="8" fillId="0" borderId="0" xfId="9" applyFont="1" applyBorder="1" applyAlignment="1">
      <alignment horizontal="center"/>
    </xf>
    <xf numFmtId="0" fontId="11" fillId="0" borderId="31" xfId="9" applyFont="1" applyBorder="1" applyAlignment="1">
      <alignment horizontal="center"/>
    </xf>
    <xf numFmtId="0" fontId="21" fillId="0" borderId="0" xfId="0" applyFont="1" applyBorder="1" applyAlignment="1">
      <alignment horizontal="center"/>
    </xf>
    <xf numFmtId="0" fontId="8" fillId="0" borderId="0" xfId="20" applyFont="1" applyFill="1" applyBorder="1" applyAlignment="1">
      <alignment horizontal="center" vertical="center"/>
    </xf>
    <xf numFmtId="0" fontId="21" fillId="0" borderId="0" xfId="20" applyFont="1" applyBorder="1" applyAlignment="1">
      <alignment horizontal="center" vertical="center"/>
    </xf>
    <xf numFmtId="0" fontId="11" fillId="0" borderId="28" xfId="0" applyFont="1" applyBorder="1" applyAlignment="1">
      <alignment horizontal="center" vertical="center" wrapText="1"/>
    </xf>
    <xf numFmtId="0" fontId="11" fillId="0" borderId="150" xfId="0" applyFont="1" applyBorder="1" applyAlignment="1">
      <alignment horizontal="center" vertical="center" wrapText="1"/>
    </xf>
    <xf numFmtId="0" fontId="11" fillId="0" borderId="53" xfId="0" applyFont="1" applyBorder="1" applyAlignment="1">
      <alignment horizontal="center"/>
    </xf>
    <xf numFmtId="0" fontId="11" fillId="0" borderId="31" xfId="0" applyFont="1" applyBorder="1" applyAlignment="1">
      <alignment horizontal="center"/>
    </xf>
    <xf numFmtId="0" fontId="11" fillId="0" borderId="18" xfId="0" applyFont="1" applyBorder="1" applyAlignment="1">
      <alignment horizontal="center"/>
    </xf>
    <xf numFmtId="0" fontId="11" fillId="0" borderId="32" xfId="0" applyFont="1" applyBorder="1" applyAlignment="1">
      <alignment horizontal="center"/>
    </xf>
    <xf numFmtId="0" fontId="11" fillId="0" borderId="144" xfId="0" applyFont="1" applyBorder="1" applyAlignment="1">
      <alignment horizontal="center"/>
    </xf>
    <xf numFmtId="0" fontId="0" fillId="0" borderId="0" xfId="0" applyAlignment="1">
      <alignment horizontal="left"/>
    </xf>
    <xf numFmtId="0" fontId="21" fillId="0" borderId="0" xfId="20" applyFont="1" applyFill="1" applyBorder="1" applyAlignment="1">
      <alignment horizontal="center" vertical="center"/>
    </xf>
    <xf numFmtId="0" fontId="21" fillId="0" borderId="0" xfId="21" applyFont="1" applyBorder="1" applyAlignment="1">
      <alignment horizontal="center" vertical="center"/>
    </xf>
    <xf numFmtId="0" fontId="21" fillId="0" borderId="44" xfId="12" applyFont="1" applyFill="1" applyBorder="1" applyAlignment="1">
      <alignment horizontal="center" vertical="center" wrapText="1"/>
    </xf>
    <xf numFmtId="0" fontId="21" fillId="0" borderId="0" xfId="10" applyFont="1" applyFill="1" applyBorder="1" applyAlignment="1">
      <alignment horizontal="center" vertical="center" wrapText="1"/>
    </xf>
    <xf numFmtId="0" fontId="21" fillId="0" borderId="0" xfId="11" applyFont="1" applyBorder="1" applyAlignment="1">
      <alignment horizontal="center" vertical="center" wrapText="1"/>
    </xf>
    <xf numFmtId="0" fontId="37" fillId="0" borderId="9" xfId="9" applyFont="1" applyBorder="1" applyAlignment="1">
      <alignment horizontal="center" wrapText="1"/>
    </xf>
    <xf numFmtId="0" fontId="8" fillId="5" borderId="123" xfId="8" applyFont="1" applyFill="1" applyBorder="1" applyAlignment="1">
      <alignment horizontal="center"/>
    </xf>
    <xf numFmtId="0" fontId="8" fillId="5" borderId="126" xfId="8" applyFont="1" applyFill="1" applyBorder="1" applyAlignment="1">
      <alignment horizontal="center"/>
    </xf>
    <xf numFmtId="0" fontId="8" fillId="5" borderId="129" xfId="8" applyFont="1" applyFill="1" applyBorder="1" applyAlignment="1">
      <alignment horizontal="center"/>
    </xf>
    <xf numFmtId="0" fontId="21" fillId="0" borderId="0" xfId="8" applyFont="1" applyAlignment="1">
      <alignment horizontal="center"/>
    </xf>
    <xf numFmtId="0" fontId="21" fillId="0" borderId="0" xfId="8" applyFont="1" applyBorder="1" applyAlignment="1">
      <alignment horizontal="center"/>
    </xf>
    <xf numFmtId="0" fontId="6" fillId="0" borderId="40" xfId="0" applyFont="1" applyFill="1" applyBorder="1" applyAlignment="1">
      <alignment horizontal="left" wrapText="1"/>
    </xf>
    <xf numFmtId="0" fontId="6" fillId="0" borderId="0" xfId="0" applyFont="1" applyFill="1" applyBorder="1" applyAlignment="1">
      <alignment horizontal="left" wrapText="1"/>
    </xf>
    <xf numFmtId="0" fontId="8" fillId="5" borderId="3" xfId="0" applyFont="1" applyFill="1" applyBorder="1" applyAlignment="1">
      <alignment horizontal="center"/>
    </xf>
    <xf numFmtId="0" fontId="2" fillId="0" borderId="40" xfId="9" applyFont="1" applyFill="1" applyBorder="1" applyAlignment="1">
      <alignment horizontal="center" wrapText="1"/>
    </xf>
    <xf numFmtId="0" fontId="2" fillId="0" borderId="0" xfId="9" applyFont="1" applyFill="1" applyBorder="1" applyAlignment="1">
      <alignment horizontal="center" wrapText="1"/>
    </xf>
    <xf numFmtId="0" fontId="55" fillId="0" borderId="37" xfId="13" applyFont="1" applyBorder="1" applyAlignment="1">
      <alignment horizontal="center" vertical="center" wrapText="1"/>
    </xf>
    <xf numFmtId="0" fontId="23" fillId="0" borderId="0" xfId="0" applyFont="1" applyAlignment="1">
      <alignment horizontal="center"/>
    </xf>
    <xf numFmtId="0" fontId="21" fillId="0" borderId="0" xfId="32" applyFont="1" applyAlignment="1">
      <alignment horizontal="center" wrapText="1"/>
    </xf>
    <xf numFmtId="0" fontId="21" fillId="0" borderId="0" xfId="12" applyFont="1" applyBorder="1" applyAlignment="1">
      <alignment horizontal="center" vertical="center" wrapText="1"/>
    </xf>
    <xf numFmtId="0" fontId="21" fillId="0" borderId="0" xfId="10" applyFont="1" applyBorder="1" applyAlignment="1">
      <alignment horizontal="center" vertical="center" wrapText="1"/>
    </xf>
    <xf numFmtId="0" fontId="8" fillId="0" borderId="0" xfId="32" applyFont="1" applyAlignment="1">
      <alignment horizontal="center" wrapText="1"/>
    </xf>
    <xf numFmtId="0" fontId="11" fillId="0" borderId="41" xfId="32" applyFont="1" applyBorder="1" applyAlignment="1">
      <alignment horizontal="center" vertical="center" wrapText="1"/>
    </xf>
    <xf numFmtId="0" fontId="11" fillId="0" borderId="151" xfId="32" applyFont="1" applyBorder="1" applyAlignment="1">
      <alignment horizontal="center" vertical="center" wrapText="1"/>
    </xf>
    <xf numFmtId="0" fontId="11" fillId="0" borderId="27" xfId="32" applyFont="1" applyBorder="1" applyAlignment="1">
      <alignment horizontal="center" vertical="center" wrapText="1"/>
    </xf>
    <xf numFmtId="0" fontId="11" fillId="0" borderId="152" xfId="32" applyFont="1" applyBorder="1" applyAlignment="1">
      <alignment horizontal="center" vertical="center" wrapText="1"/>
    </xf>
    <xf numFmtId="0" fontId="11" fillId="0" borderId="38" xfId="32" applyFont="1" applyBorder="1" applyAlignment="1">
      <alignment horizontal="center" vertical="center" wrapText="1"/>
    </xf>
    <xf numFmtId="0" fontId="11" fillId="0" borderId="153" xfId="32" applyFont="1" applyBorder="1" applyAlignment="1">
      <alignment horizontal="center" vertical="center" wrapText="1"/>
    </xf>
    <xf numFmtId="0" fontId="8" fillId="0" borderId="0" xfId="32" applyFont="1" applyFill="1" applyAlignment="1">
      <alignment horizontal="center"/>
    </xf>
    <xf numFmtId="0" fontId="8" fillId="0" borderId="0" xfId="32" applyFont="1" applyAlignment="1">
      <alignment horizontal="center" vertical="center" wrapText="1"/>
    </xf>
    <xf numFmtId="0" fontId="15" fillId="0" borderId="0" xfId="32" applyFont="1" applyBorder="1" applyAlignment="1">
      <alignment horizontal="left" wrapText="1"/>
    </xf>
    <xf numFmtId="0" fontId="15" fillId="0" borderId="0" xfId="32" applyFont="1" applyBorder="1" applyAlignment="1">
      <alignment horizontal="left" vertical="center" wrapText="1"/>
    </xf>
    <xf numFmtId="0" fontId="8" fillId="13" borderId="0" xfId="32" applyFont="1" applyFill="1" applyAlignment="1">
      <alignment horizontal="center" vertical="center" wrapText="1"/>
    </xf>
    <xf numFmtId="0" fontId="38" fillId="0" borderId="0" xfId="32" applyFont="1" applyBorder="1" applyAlignment="1">
      <alignment horizontal="left" vertical="center" wrapText="1"/>
    </xf>
    <xf numFmtId="0" fontId="8" fillId="0" borderId="167" xfId="0" applyFont="1" applyBorder="1" applyAlignment="1">
      <alignment horizontal="center"/>
    </xf>
    <xf numFmtId="0" fontId="0" fillId="0" borderId="167" xfId="0" applyBorder="1" applyAlignment="1">
      <alignment horizontal="center"/>
    </xf>
    <xf numFmtId="0" fontId="11" fillId="11" borderId="170" xfId="0" applyFont="1" applyFill="1" applyBorder="1" applyAlignment="1">
      <alignment horizontal="center"/>
    </xf>
    <xf numFmtId="0" fontId="11" fillId="11" borderId="31" xfId="0" applyFont="1" applyFill="1" applyBorder="1" applyAlignment="1">
      <alignment horizontal="center"/>
    </xf>
    <xf numFmtId="0" fontId="11" fillId="11" borderId="2" xfId="0" applyFont="1" applyFill="1" applyBorder="1" applyAlignment="1">
      <alignment horizontal="center"/>
    </xf>
    <xf numFmtId="174" fontId="11" fillId="11" borderId="170" xfId="0" applyNumberFormat="1" applyFont="1" applyFill="1" applyBorder="1" applyAlignment="1">
      <alignment horizontal="center"/>
    </xf>
    <xf numFmtId="174" fontId="11" fillId="11" borderId="31" xfId="0" applyNumberFormat="1" applyFont="1" applyFill="1" applyBorder="1" applyAlignment="1">
      <alignment horizontal="center"/>
    </xf>
    <xf numFmtId="174" fontId="11" fillId="11" borderId="2" xfId="0" applyNumberFormat="1" applyFont="1" applyFill="1" applyBorder="1" applyAlignment="1">
      <alignment horizontal="center"/>
    </xf>
    <xf numFmtId="174" fontId="11" fillId="0" borderId="170" xfId="0" applyNumberFormat="1" applyFont="1" applyBorder="1" applyAlignment="1">
      <alignment horizontal="center"/>
    </xf>
    <xf numFmtId="174" fontId="11" fillId="0" borderId="2" xfId="0" applyNumberFormat="1" applyFont="1" applyBorder="1" applyAlignment="1">
      <alignment horizontal="center"/>
    </xf>
    <xf numFmtId="0" fontId="60" fillId="0" borderId="0" xfId="0" applyFont="1" applyAlignment="1">
      <alignment horizontal="center"/>
    </xf>
    <xf numFmtId="0" fontId="11" fillId="0" borderId="38" xfId="0" applyFont="1" applyBorder="1" applyAlignment="1">
      <alignment horizontal="center" vertical="center" textRotation="90" wrapText="1"/>
    </xf>
    <xf numFmtId="0" fontId="11" fillId="0" borderId="36" xfId="0" applyFont="1" applyBorder="1" applyAlignment="1">
      <alignment horizontal="center" vertical="center" textRotation="90" wrapText="1"/>
    </xf>
    <xf numFmtId="0" fontId="11" fillId="0" borderId="153" xfId="0" applyFont="1" applyBorder="1" applyAlignment="1">
      <alignment horizontal="center" vertical="center" textRotation="90" wrapText="1"/>
    </xf>
    <xf numFmtId="0" fontId="20" fillId="0" borderId="0" xfId="0" applyFont="1" applyFill="1" applyAlignment="1">
      <alignment horizontal="left" vertical="center" wrapText="1"/>
    </xf>
    <xf numFmtId="0" fontId="20" fillId="0" borderId="0" xfId="0" applyFont="1" applyAlignment="1">
      <alignment horizontal="left" wrapText="1"/>
    </xf>
    <xf numFmtId="0" fontId="11" fillId="0" borderId="38" xfId="0" applyFont="1" applyFill="1" applyBorder="1" applyAlignment="1">
      <alignment horizontal="center" vertical="center" textRotation="90" wrapText="1"/>
    </xf>
    <xf numFmtId="0" fontId="11" fillId="0" borderId="36" xfId="0" applyFont="1" applyFill="1" applyBorder="1" applyAlignment="1">
      <alignment horizontal="center" vertical="center" textRotation="90" wrapText="1"/>
    </xf>
    <xf numFmtId="0" fontId="11" fillId="0" borderId="153" xfId="0" applyFont="1" applyFill="1" applyBorder="1" applyAlignment="1">
      <alignment horizontal="center" vertical="center" textRotation="90" wrapText="1"/>
    </xf>
    <xf numFmtId="0" fontId="11" fillId="0" borderId="30" xfId="19" applyFont="1" applyBorder="1" applyAlignment="1">
      <alignment horizontal="center" vertical="center" wrapText="1"/>
    </xf>
    <xf numFmtId="0" fontId="11" fillId="0" borderId="31" xfId="19" applyFont="1" applyBorder="1" applyAlignment="1">
      <alignment horizontal="center" vertical="center" wrapText="1"/>
    </xf>
    <xf numFmtId="0" fontId="11" fillId="0" borderId="18" xfId="19" applyFont="1" applyBorder="1" applyAlignment="1">
      <alignment horizontal="center" vertical="center" wrapText="1"/>
    </xf>
    <xf numFmtId="0" fontId="8" fillId="0" borderId="44" xfId="19" applyFont="1" applyBorder="1" applyAlignment="1">
      <alignment horizontal="center" vertical="center"/>
    </xf>
    <xf numFmtId="0" fontId="8" fillId="0" borderId="5" xfId="19" applyFont="1" applyBorder="1" applyAlignment="1">
      <alignment horizontal="center" vertical="center"/>
    </xf>
    <xf numFmtId="0" fontId="8" fillId="0" borderId="0" xfId="19" applyFont="1" applyFill="1" applyAlignment="1">
      <alignment horizontal="center" vertical="center"/>
    </xf>
    <xf numFmtId="0" fontId="34" fillId="0" borderId="0" xfId="19" applyFont="1" applyFill="1" applyAlignment="1">
      <alignment horizontal="center" vertical="center"/>
    </xf>
    <xf numFmtId="0" fontId="8" fillId="0" borderId="54" xfId="19" applyFont="1" applyBorder="1" applyAlignment="1">
      <alignment horizontal="center" vertical="center"/>
    </xf>
    <xf numFmtId="0" fontId="11" fillId="0" borderId="31" xfId="19" applyFont="1" applyBorder="1" applyAlignment="1">
      <alignment horizontal="center" vertical="center"/>
    </xf>
    <xf numFmtId="0" fontId="11" fillId="0" borderId="18" xfId="19" applyFont="1" applyBorder="1" applyAlignment="1">
      <alignment horizontal="center" vertical="center"/>
    </xf>
    <xf numFmtId="0" fontId="8" fillId="0" borderId="0" xfId="19" applyFont="1" applyAlignment="1">
      <alignment horizontal="center" vertical="center"/>
    </xf>
    <xf numFmtId="0" fontId="34" fillId="0" borderId="0" xfId="19" applyFont="1" applyAlignment="1">
      <alignment horizontal="center" vertical="center"/>
    </xf>
    <xf numFmtId="0" fontId="8" fillId="0" borderId="42" xfId="19" applyFont="1" applyBorder="1" applyAlignment="1">
      <alignment horizontal="center" vertical="center"/>
    </xf>
    <xf numFmtId="0" fontId="61" fillId="0" borderId="0" xfId="32" applyFont="1" applyAlignment="1">
      <alignment horizontal="center"/>
    </xf>
  </cellXfs>
  <cellStyles count="34">
    <cellStyle name="Comma" xfId="1" builtinId="3"/>
    <cellStyle name="Currency" xfId="2" builtinId="4"/>
    <cellStyle name="Currency 2" xfId="33"/>
    <cellStyle name="Hyperlink" xfId="3" builtinId="8"/>
    <cellStyle name="Milliers [0]_laroux" xfId="4"/>
    <cellStyle name="Milliers_laroux" xfId="5"/>
    <cellStyle name="Monétaire [0]_laroux" xfId="6"/>
    <cellStyle name="Monétaire_laroux" xfId="7"/>
    <cellStyle name="Normal" xfId="0" builtinId="0"/>
    <cellStyle name="Normal 2" xfId="8"/>
    <cellStyle name="Normal 2 2" xfId="32"/>
    <cellStyle name="Normal 3" xfId="30"/>
    <cellStyle name="Normal_CHE2" xfId="9"/>
    <cellStyle name="Normal_FBOOK10" xfId="10"/>
    <cellStyle name="Normal_FBOOK11" xfId="11"/>
    <cellStyle name="Normal_FBOOK12" xfId="12"/>
    <cellStyle name="Normal_FBOOK13" xfId="13"/>
    <cellStyle name="Normal_FBOOK1A" xfId="14"/>
    <cellStyle name="Normal_FBOOK2A" xfId="15"/>
    <cellStyle name="Normal_FBOOK3" xfId="16"/>
    <cellStyle name="Normal_FBOOK4" xfId="17"/>
    <cellStyle name="Normal_FBOOK5" xfId="18"/>
    <cellStyle name="Normal_FBOOK6" xfId="19"/>
    <cellStyle name="Normal_FBOOK7" xfId="20"/>
    <cellStyle name="Normal_FBOOK8" xfId="21"/>
    <cellStyle name="Normal_FBOOK9" xfId="22"/>
    <cellStyle name="Normal_FBRACEF" xfId="23"/>
    <cellStyle name="Normal_FBSEXF" xfId="24"/>
    <cellStyle name="Normal_majors in discipines1" xfId="25"/>
    <cellStyle name="Percent" xfId="26" builtinId="5"/>
    <cellStyle name="Percent 2" xfId="27"/>
    <cellStyle name="Percent 3" xfId="31"/>
    <cellStyle name="Währung [0]_laroux" xfId="28"/>
    <cellStyle name="Währung_laroux" xfId="2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2.xml"/><Relationship Id="rId68" Type="http://schemas.openxmlformats.org/officeDocument/2006/relationships/worksheet" Target="worksheets/sheet67.xml"/><Relationship Id="rId7" Type="http://schemas.openxmlformats.org/officeDocument/2006/relationships/worksheet" Target="worksheets/sheet7.xml"/><Relationship Id="rId71"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7.xml"/><Relationship Id="rId66" Type="http://schemas.openxmlformats.org/officeDocument/2006/relationships/worksheet" Target="worksheets/sheet65.xml"/><Relationship Id="rId7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6.xml"/><Relationship Id="rId61" Type="http://schemas.openxmlformats.org/officeDocument/2006/relationships/worksheet" Target="worksheets/sheet60.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59.xml"/><Relationship Id="rId65" Type="http://schemas.openxmlformats.org/officeDocument/2006/relationships/worksheet" Target="worksheets/sheet64.xml"/><Relationship Id="rId73"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hartsheet" Target="chartsheets/sheet1.xml"/><Relationship Id="rId64" Type="http://schemas.openxmlformats.org/officeDocument/2006/relationships/worksheet" Target="worksheets/sheet63.xml"/><Relationship Id="rId69" Type="http://schemas.openxmlformats.org/officeDocument/2006/relationships/worksheet" Target="worksheets/sheet68.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8.xml"/><Relationship Id="rId67" Type="http://schemas.openxmlformats.org/officeDocument/2006/relationships/worksheet" Target="worksheets/sheet6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1.xml"/><Relationship Id="rId70" Type="http://schemas.openxmlformats.org/officeDocument/2006/relationships/worksheet" Target="worksheets/sheet69.xml"/><Relationship Id="rId75"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8983173584223807E-2"/>
          <c:y val="6.336105200007533E-2"/>
          <c:w val="0.89830632380263209"/>
          <c:h val="0.73278434052261032"/>
        </c:manualLayout>
      </c:layout>
      <c:barChart>
        <c:barDir val="col"/>
        <c:grouping val="clustered"/>
        <c:varyColors val="0"/>
        <c:ser>
          <c:idx val="0"/>
          <c:order val="0"/>
          <c:tx>
            <c:strRef>
              <c:f>'Freshmen Application History'!$J$3</c:f>
              <c:strCache>
                <c:ptCount val="1"/>
                <c:pt idx="0">
                  <c:v>APPLICATIONS RECEIVED</c:v>
                </c:pt>
              </c:strCache>
            </c:strRef>
          </c:tx>
          <c:spPr>
            <a:solidFill>
              <a:srgbClr val="333333"/>
            </a:solidFill>
            <a:ln w="12700">
              <a:solidFill>
                <a:srgbClr val="000000"/>
              </a:solidFill>
              <a:prstDash val="solid"/>
            </a:ln>
          </c:spPr>
          <c:invertIfNegative val="0"/>
          <c:dLbls>
            <c:spPr>
              <a:noFill/>
              <a:ln w="25400">
                <a:noFill/>
              </a:ln>
            </c:spPr>
            <c:txPr>
              <a:bodyPr rot="-5400000" vert="horz"/>
              <a:lstStyle/>
              <a:p>
                <a:pPr algn="ct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trendline>
            <c:spPr>
              <a:ln w="25400">
                <a:solidFill>
                  <a:srgbClr val="000000"/>
                </a:solidFill>
                <a:prstDash val="solid"/>
              </a:ln>
            </c:spPr>
            <c:trendlineType val="log"/>
            <c:dispRSqr val="0"/>
            <c:dispEq val="0"/>
          </c:trendline>
          <c:cat>
            <c:numRef>
              <c:f>'Freshmen Application History'!$I$4:$I$8</c:f>
              <c:numCache>
                <c:formatCode>General</c:formatCode>
                <c:ptCount val="5"/>
                <c:pt idx="0">
                  <c:v>2008</c:v>
                </c:pt>
                <c:pt idx="1">
                  <c:v>2009</c:v>
                </c:pt>
                <c:pt idx="2">
                  <c:v>2010</c:v>
                </c:pt>
                <c:pt idx="3">
                  <c:v>2011</c:v>
                </c:pt>
                <c:pt idx="4">
                  <c:v>2012</c:v>
                </c:pt>
              </c:numCache>
            </c:numRef>
          </c:cat>
          <c:val>
            <c:numRef>
              <c:f>'Freshmen Application History'!$J$4:$J$8</c:f>
              <c:numCache>
                <c:formatCode>General</c:formatCode>
                <c:ptCount val="5"/>
                <c:pt idx="0">
                  <c:v>2114</c:v>
                </c:pt>
                <c:pt idx="1">
                  <c:v>2654</c:v>
                </c:pt>
                <c:pt idx="2">
                  <c:v>2901</c:v>
                </c:pt>
                <c:pt idx="3">
                  <c:v>3189</c:v>
                </c:pt>
                <c:pt idx="4">
                  <c:v>3349</c:v>
                </c:pt>
              </c:numCache>
            </c:numRef>
          </c:val>
        </c:ser>
        <c:ser>
          <c:idx val="1"/>
          <c:order val="1"/>
          <c:tx>
            <c:strRef>
              <c:f>'Freshmen Application History'!$K$3</c:f>
              <c:strCache>
                <c:ptCount val="1"/>
                <c:pt idx="0">
                  <c:v>APPLICATIONS ACCEPTED</c:v>
                </c:pt>
              </c:strCache>
            </c:strRef>
          </c:tx>
          <c:spPr>
            <a:solidFill>
              <a:srgbClr val="FFFFFF"/>
            </a:solidFill>
            <a:ln w="12700">
              <a:solidFill>
                <a:srgbClr val="000000"/>
              </a:solidFill>
              <a:prstDash val="solid"/>
            </a:ln>
          </c:spPr>
          <c:invertIfNegative val="0"/>
          <c:dLbls>
            <c:spPr>
              <a:noFill/>
              <a:ln w="25400">
                <a:noFill/>
              </a:ln>
            </c:spPr>
            <c:txPr>
              <a:bodyPr rot="-5400000" vert="horz"/>
              <a:lstStyle/>
              <a:p>
                <a:pPr algn="ct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trendline>
            <c:spPr>
              <a:ln w="25400">
                <a:solidFill>
                  <a:srgbClr val="000000"/>
                </a:solidFill>
                <a:prstDash val="solid"/>
              </a:ln>
            </c:spPr>
            <c:trendlineType val="log"/>
            <c:dispRSqr val="0"/>
            <c:dispEq val="0"/>
          </c:trendline>
          <c:cat>
            <c:numRef>
              <c:f>'Freshmen Application History'!$I$4:$I$8</c:f>
              <c:numCache>
                <c:formatCode>General</c:formatCode>
                <c:ptCount val="5"/>
                <c:pt idx="0">
                  <c:v>2008</c:v>
                </c:pt>
                <c:pt idx="1">
                  <c:v>2009</c:v>
                </c:pt>
                <c:pt idx="2">
                  <c:v>2010</c:v>
                </c:pt>
                <c:pt idx="3">
                  <c:v>2011</c:v>
                </c:pt>
                <c:pt idx="4">
                  <c:v>2012</c:v>
                </c:pt>
              </c:numCache>
            </c:numRef>
          </c:cat>
          <c:val>
            <c:numRef>
              <c:f>'Freshmen Application History'!$K$4:$K$8</c:f>
              <c:numCache>
                <c:formatCode>General</c:formatCode>
                <c:ptCount val="5"/>
                <c:pt idx="0">
                  <c:v>964</c:v>
                </c:pt>
                <c:pt idx="1">
                  <c:v>1246</c:v>
                </c:pt>
                <c:pt idx="2">
                  <c:v>1319</c:v>
                </c:pt>
                <c:pt idx="3">
                  <c:v>1348</c:v>
                </c:pt>
                <c:pt idx="4">
                  <c:v>1412</c:v>
                </c:pt>
              </c:numCache>
            </c:numRef>
          </c:val>
        </c:ser>
        <c:ser>
          <c:idx val="2"/>
          <c:order val="2"/>
          <c:tx>
            <c:strRef>
              <c:f>'Freshmen Application History'!$L$3</c:f>
              <c:strCache>
                <c:ptCount val="1"/>
                <c:pt idx="0">
                  <c:v>APPLICATIONS ENROLLED</c:v>
                </c:pt>
              </c:strCache>
            </c:strRef>
          </c:tx>
          <c:spPr>
            <a:pattFill prst="wdDnDiag">
              <a:fgClr>
                <a:srgbClr val="000000"/>
              </a:fgClr>
              <a:bgClr>
                <a:srgbClr val="FFFFFF"/>
              </a:bgClr>
            </a:pattFill>
            <a:ln w="12700">
              <a:solidFill>
                <a:srgbClr val="000000"/>
              </a:solidFill>
              <a:prstDash val="solid"/>
            </a:ln>
          </c:spPr>
          <c:invertIfNegative val="0"/>
          <c:dLbls>
            <c:spPr>
              <a:noFill/>
              <a:ln w="25400">
                <a:noFill/>
              </a:ln>
            </c:spPr>
            <c:txPr>
              <a:bodyPr rot="-5400000" vert="horz"/>
              <a:lstStyle/>
              <a:p>
                <a:pPr algn="ct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trendline>
            <c:spPr>
              <a:ln w="25400">
                <a:solidFill>
                  <a:srgbClr val="000000"/>
                </a:solidFill>
                <a:prstDash val="solid"/>
              </a:ln>
            </c:spPr>
            <c:trendlineType val="log"/>
            <c:dispRSqr val="0"/>
            <c:dispEq val="0"/>
          </c:trendline>
          <c:cat>
            <c:numRef>
              <c:f>'Freshmen Application History'!$I$4:$I$8</c:f>
              <c:numCache>
                <c:formatCode>General</c:formatCode>
                <c:ptCount val="5"/>
                <c:pt idx="0">
                  <c:v>2008</c:v>
                </c:pt>
                <c:pt idx="1">
                  <c:v>2009</c:v>
                </c:pt>
                <c:pt idx="2">
                  <c:v>2010</c:v>
                </c:pt>
                <c:pt idx="3">
                  <c:v>2011</c:v>
                </c:pt>
                <c:pt idx="4">
                  <c:v>2012</c:v>
                </c:pt>
              </c:numCache>
            </c:numRef>
          </c:cat>
          <c:val>
            <c:numRef>
              <c:f>'Freshmen Application History'!$L$4:$L$8</c:f>
              <c:numCache>
                <c:formatCode>General</c:formatCode>
                <c:ptCount val="5"/>
                <c:pt idx="0">
                  <c:v>555</c:v>
                </c:pt>
                <c:pt idx="1">
                  <c:v>582</c:v>
                </c:pt>
                <c:pt idx="2">
                  <c:v>686</c:v>
                </c:pt>
                <c:pt idx="3">
                  <c:v>595</c:v>
                </c:pt>
                <c:pt idx="4">
                  <c:v>569</c:v>
                </c:pt>
              </c:numCache>
            </c:numRef>
          </c:val>
        </c:ser>
        <c:dLbls>
          <c:showLegendKey val="0"/>
          <c:showVal val="0"/>
          <c:showCatName val="0"/>
          <c:showSerName val="0"/>
          <c:showPercent val="0"/>
          <c:showBubbleSize val="0"/>
        </c:dLbls>
        <c:gapWidth val="70"/>
        <c:axId val="375370912"/>
        <c:axId val="375371696"/>
      </c:barChart>
      <c:catAx>
        <c:axId val="375370912"/>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Fall of...</a:t>
                </a:r>
              </a:p>
            </c:rich>
          </c:tx>
          <c:layout>
            <c:manualLayout>
              <c:xMode val="edge"/>
              <c:yMode val="edge"/>
              <c:x val="0.50706288832539959"/>
              <c:y val="0.8705257297383282"/>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75371696"/>
        <c:crosses val="autoZero"/>
        <c:auto val="0"/>
        <c:lblAlgn val="ctr"/>
        <c:lblOffset val="100"/>
        <c:tickLblSkip val="1"/>
        <c:tickMarkSkip val="1"/>
        <c:noMultiLvlLbl val="0"/>
      </c:catAx>
      <c:valAx>
        <c:axId val="375371696"/>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en-US"/>
                  <a:t>Number of Applications</a:t>
                </a:r>
              </a:p>
            </c:rich>
          </c:tx>
          <c:layout>
            <c:manualLayout>
              <c:xMode val="edge"/>
              <c:yMode val="edge"/>
              <c:x val="1.1299435028248589E-2"/>
              <c:y val="0.24793446273761394"/>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75370912"/>
        <c:crosses val="autoZero"/>
        <c:crossBetween val="between"/>
      </c:valAx>
      <c:spPr>
        <a:noFill/>
        <a:ln w="12700">
          <a:solidFill>
            <a:srgbClr val="808080"/>
          </a:solidFill>
          <a:prstDash val="solid"/>
        </a:ln>
      </c:spPr>
    </c:plotArea>
    <c:legend>
      <c:legendPos val="b"/>
      <c:legendEntry>
        <c:idx val="3"/>
        <c:delete val="1"/>
      </c:legendEntry>
      <c:legendEntry>
        <c:idx val="4"/>
        <c:delete val="1"/>
      </c:legendEntry>
      <c:legendEntry>
        <c:idx val="5"/>
        <c:delete val="1"/>
      </c:legendEntry>
      <c:layout>
        <c:manualLayout>
          <c:xMode val="edge"/>
          <c:yMode val="edge"/>
          <c:x val="0.19347629080120837"/>
          <c:y val="0.95041582612090869"/>
          <c:w val="0.6313835253922"/>
          <c:h val="4.1322314049587014E-2"/>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377" r="0.75000000000000377" t="1" header="0.5" footer="0.5"/>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1" i="0" u="none" strike="noStrike" baseline="0">
                <a:solidFill>
                  <a:srgbClr val="000000"/>
                </a:solidFill>
                <a:latin typeface="Arial"/>
                <a:ea typeface="Arial"/>
                <a:cs typeface="Arial"/>
              </a:defRPr>
            </a:pPr>
            <a:r>
              <a:rPr lang="en-US"/>
              <a:t>Fall Enrollment by Class</a:t>
            </a:r>
          </a:p>
        </c:rich>
      </c:tx>
      <c:layout>
        <c:manualLayout>
          <c:xMode val="edge"/>
          <c:yMode val="edge"/>
          <c:x val="0.39871435751382345"/>
          <c:y val="2.8301916805853852E-2"/>
        </c:manualLayout>
      </c:layout>
      <c:overlay val="0"/>
      <c:spPr>
        <a:noFill/>
        <a:ln w="25400">
          <a:noFill/>
        </a:ln>
      </c:spPr>
    </c:title>
    <c:autoTitleDeleted val="0"/>
    <c:plotArea>
      <c:layout>
        <c:manualLayout>
          <c:layoutTarget val="inner"/>
          <c:xMode val="edge"/>
          <c:yMode val="edge"/>
          <c:x val="5.6806061602003834E-2"/>
          <c:y val="0.13773584905660391"/>
          <c:w val="0.87995804858953686"/>
          <c:h val="0.68490566037735845"/>
        </c:manualLayout>
      </c:layout>
      <c:barChart>
        <c:barDir val="col"/>
        <c:grouping val="clustered"/>
        <c:varyColors val="0"/>
        <c:ser>
          <c:idx val="0"/>
          <c:order val="0"/>
          <c:tx>
            <c:strRef>
              <c:f>'Fall Headcount by Class'!$T$4</c:f>
              <c:strCache>
                <c:ptCount val="1"/>
                <c:pt idx="0">
                  <c:v>2008</c:v>
                </c:pt>
              </c:strCache>
            </c:strRef>
          </c:tx>
          <c:spPr>
            <a:solidFill>
              <a:srgbClr val="C0C0C0"/>
            </a:solidFill>
            <a:ln w="12700">
              <a:solidFill>
                <a:srgbClr val="000000"/>
              </a:solidFill>
              <a:prstDash val="solid"/>
            </a:ln>
          </c:spPr>
          <c:invertIfNegative val="0"/>
          <c:cat>
            <c:strRef>
              <c:f>'Fall Headcount by Class'!$R$5:$R$12</c:f>
              <c:strCache>
                <c:ptCount val="8"/>
                <c:pt idx="0">
                  <c:v>Freshman</c:v>
                </c:pt>
                <c:pt idx="1">
                  <c:v>Sophomore</c:v>
                </c:pt>
                <c:pt idx="2">
                  <c:v>Junior</c:v>
                </c:pt>
                <c:pt idx="3">
                  <c:v>Senior</c:v>
                </c:pt>
                <c:pt idx="4">
                  <c:v>Second Degree</c:v>
                </c:pt>
                <c:pt idx="5">
                  <c:v>Non-Degree/Special</c:v>
                </c:pt>
                <c:pt idx="6">
                  <c:v>Non-Degree Graduate</c:v>
                </c:pt>
                <c:pt idx="7">
                  <c:v>Degree Graduate</c:v>
                </c:pt>
              </c:strCache>
            </c:strRef>
          </c:cat>
          <c:val>
            <c:numRef>
              <c:f>'Fall Headcount by Class'!$T$5:$T$12</c:f>
              <c:numCache>
                <c:formatCode>General</c:formatCode>
                <c:ptCount val="8"/>
                <c:pt idx="0">
                  <c:v>781</c:v>
                </c:pt>
                <c:pt idx="1">
                  <c:v>546</c:v>
                </c:pt>
                <c:pt idx="2">
                  <c:v>478</c:v>
                </c:pt>
                <c:pt idx="3">
                  <c:v>648</c:v>
                </c:pt>
                <c:pt idx="4">
                  <c:v>40</c:v>
                </c:pt>
                <c:pt idx="5">
                  <c:v>47</c:v>
                </c:pt>
                <c:pt idx="6">
                  <c:v>33</c:v>
                </c:pt>
                <c:pt idx="7">
                  <c:v>41</c:v>
                </c:pt>
              </c:numCache>
            </c:numRef>
          </c:val>
        </c:ser>
        <c:ser>
          <c:idx val="1"/>
          <c:order val="1"/>
          <c:tx>
            <c:strRef>
              <c:f>'Fall Headcount by Class'!$U$4</c:f>
              <c:strCache>
                <c:ptCount val="1"/>
                <c:pt idx="0">
                  <c:v>2009</c:v>
                </c:pt>
              </c:strCache>
            </c:strRef>
          </c:tx>
          <c:spPr>
            <a:solidFill>
              <a:srgbClr val="000000"/>
            </a:solidFill>
            <a:ln w="12700">
              <a:solidFill>
                <a:srgbClr val="000000"/>
              </a:solidFill>
              <a:prstDash val="solid"/>
            </a:ln>
          </c:spPr>
          <c:invertIfNegative val="0"/>
          <c:cat>
            <c:strRef>
              <c:f>'Fall Headcount by Class'!$R$5:$R$12</c:f>
              <c:strCache>
                <c:ptCount val="8"/>
                <c:pt idx="0">
                  <c:v>Freshman</c:v>
                </c:pt>
                <c:pt idx="1">
                  <c:v>Sophomore</c:v>
                </c:pt>
                <c:pt idx="2">
                  <c:v>Junior</c:v>
                </c:pt>
                <c:pt idx="3">
                  <c:v>Senior</c:v>
                </c:pt>
                <c:pt idx="4">
                  <c:v>Second Degree</c:v>
                </c:pt>
                <c:pt idx="5">
                  <c:v>Non-Degree/Special</c:v>
                </c:pt>
                <c:pt idx="6">
                  <c:v>Non-Degree Graduate</c:v>
                </c:pt>
                <c:pt idx="7">
                  <c:v>Degree Graduate</c:v>
                </c:pt>
              </c:strCache>
            </c:strRef>
          </c:cat>
          <c:val>
            <c:numRef>
              <c:f>'Fall Headcount by Class'!$U$5:$U$12</c:f>
              <c:numCache>
                <c:formatCode>General</c:formatCode>
                <c:ptCount val="8"/>
                <c:pt idx="0">
                  <c:v>819</c:v>
                </c:pt>
                <c:pt idx="1">
                  <c:v>586</c:v>
                </c:pt>
                <c:pt idx="2">
                  <c:v>531</c:v>
                </c:pt>
                <c:pt idx="3">
                  <c:v>787</c:v>
                </c:pt>
                <c:pt idx="4">
                  <c:v>35</c:v>
                </c:pt>
                <c:pt idx="5">
                  <c:v>31</c:v>
                </c:pt>
                <c:pt idx="6">
                  <c:v>32</c:v>
                </c:pt>
                <c:pt idx="7">
                  <c:v>17</c:v>
                </c:pt>
              </c:numCache>
            </c:numRef>
          </c:val>
        </c:ser>
        <c:ser>
          <c:idx val="2"/>
          <c:order val="2"/>
          <c:tx>
            <c:strRef>
              <c:f>'Fall Headcount by Class'!$V$4</c:f>
              <c:strCache>
                <c:ptCount val="1"/>
                <c:pt idx="0">
                  <c:v>2010</c:v>
                </c:pt>
              </c:strCache>
            </c:strRef>
          </c:tx>
          <c:spPr>
            <a:solidFill>
              <a:srgbClr val="FFFFFF"/>
            </a:solidFill>
            <a:ln w="12700">
              <a:solidFill>
                <a:srgbClr val="000000"/>
              </a:solidFill>
              <a:prstDash val="solid"/>
            </a:ln>
          </c:spPr>
          <c:invertIfNegative val="0"/>
          <c:cat>
            <c:strRef>
              <c:f>'Fall Headcount by Class'!$R$5:$R$12</c:f>
              <c:strCache>
                <c:ptCount val="8"/>
                <c:pt idx="0">
                  <c:v>Freshman</c:v>
                </c:pt>
                <c:pt idx="1">
                  <c:v>Sophomore</c:v>
                </c:pt>
                <c:pt idx="2">
                  <c:v>Junior</c:v>
                </c:pt>
                <c:pt idx="3">
                  <c:v>Senior</c:v>
                </c:pt>
                <c:pt idx="4">
                  <c:v>Second Degree</c:v>
                </c:pt>
                <c:pt idx="5">
                  <c:v>Non-Degree/Special</c:v>
                </c:pt>
                <c:pt idx="6">
                  <c:v>Non-Degree Graduate</c:v>
                </c:pt>
                <c:pt idx="7">
                  <c:v>Degree Graduate</c:v>
                </c:pt>
              </c:strCache>
            </c:strRef>
          </c:cat>
          <c:val>
            <c:numRef>
              <c:f>'Fall Headcount by Class'!$V$5:$V$12</c:f>
              <c:numCache>
                <c:formatCode>General</c:formatCode>
                <c:ptCount val="8"/>
                <c:pt idx="0">
                  <c:v>941</c:v>
                </c:pt>
                <c:pt idx="1">
                  <c:v>624</c:v>
                </c:pt>
                <c:pt idx="2">
                  <c:v>552</c:v>
                </c:pt>
                <c:pt idx="3">
                  <c:v>804</c:v>
                </c:pt>
                <c:pt idx="4">
                  <c:v>32</c:v>
                </c:pt>
                <c:pt idx="5">
                  <c:v>43</c:v>
                </c:pt>
                <c:pt idx="6">
                  <c:v>42</c:v>
                </c:pt>
                <c:pt idx="7">
                  <c:v>22</c:v>
                </c:pt>
              </c:numCache>
            </c:numRef>
          </c:val>
        </c:ser>
        <c:ser>
          <c:idx val="3"/>
          <c:order val="3"/>
          <c:tx>
            <c:strRef>
              <c:f>'Fall Headcount by Class'!$W$4</c:f>
              <c:strCache>
                <c:ptCount val="1"/>
                <c:pt idx="0">
                  <c:v>2011</c:v>
                </c:pt>
              </c:strCache>
            </c:strRef>
          </c:tx>
          <c:spPr>
            <a:pattFill prst="wdUpDiag">
              <a:fgClr>
                <a:srgbClr val="000000"/>
              </a:fgClr>
              <a:bgClr>
                <a:srgbClr val="FFFFFF"/>
              </a:bgClr>
            </a:pattFill>
            <a:ln w="12700">
              <a:solidFill>
                <a:srgbClr val="000000"/>
              </a:solidFill>
              <a:prstDash val="solid"/>
            </a:ln>
          </c:spPr>
          <c:invertIfNegative val="0"/>
          <c:cat>
            <c:strRef>
              <c:f>'Fall Headcount by Class'!$R$5:$R$12</c:f>
              <c:strCache>
                <c:ptCount val="8"/>
                <c:pt idx="0">
                  <c:v>Freshman</c:v>
                </c:pt>
                <c:pt idx="1">
                  <c:v>Sophomore</c:v>
                </c:pt>
                <c:pt idx="2">
                  <c:v>Junior</c:v>
                </c:pt>
                <c:pt idx="3">
                  <c:v>Senior</c:v>
                </c:pt>
                <c:pt idx="4">
                  <c:v>Second Degree</c:v>
                </c:pt>
                <c:pt idx="5">
                  <c:v>Non-Degree/Special</c:v>
                </c:pt>
                <c:pt idx="6">
                  <c:v>Non-Degree Graduate</c:v>
                </c:pt>
                <c:pt idx="7">
                  <c:v>Degree Graduate</c:v>
                </c:pt>
              </c:strCache>
            </c:strRef>
          </c:cat>
          <c:val>
            <c:numRef>
              <c:f>'Fall Headcount by Class'!$W$5:$W$12</c:f>
              <c:numCache>
                <c:formatCode>General</c:formatCode>
                <c:ptCount val="8"/>
                <c:pt idx="0">
                  <c:v>793</c:v>
                </c:pt>
                <c:pt idx="1">
                  <c:v>717</c:v>
                </c:pt>
                <c:pt idx="2">
                  <c:v>596</c:v>
                </c:pt>
                <c:pt idx="3">
                  <c:v>821</c:v>
                </c:pt>
                <c:pt idx="4">
                  <c:v>42</c:v>
                </c:pt>
                <c:pt idx="5">
                  <c:v>70</c:v>
                </c:pt>
                <c:pt idx="6">
                  <c:v>15</c:v>
                </c:pt>
                <c:pt idx="7">
                  <c:v>15</c:v>
                </c:pt>
              </c:numCache>
            </c:numRef>
          </c:val>
        </c:ser>
        <c:ser>
          <c:idx val="4"/>
          <c:order val="4"/>
          <c:tx>
            <c:strRef>
              <c:f>'Fall Headcount by Class'!$X$4</c:f>
              <c:strCache>
                <c:ptCount val="1"/>
                <c:pt idx="0">
                  <c:v>2012</c:v>
                </c:pt>
              </c:strCache>
            </c:strRef>
          </c:tx>
          <c:spPr>
            <a:pattFill prst="lgConfetti">
              <a:fgClr>
                <a:srgbClr val="FFFFFF"/>
              </a:fgClr>
              <a:bgClr>
                <a:srgbClr val="000000"/>
              </a:bgClr>
            </a:pattFill>
            <a:ln w="12700">
              <a:solidFill>
                <a:srgbClr val="000000"/>
              </a:solidFill>
              <a:prstDash val="solid"/>
            </a:ln>
          </c:spPr>
          <c:invertIfNegative val="0"/>
          <c:cat>
            <c:strRef>
              <c:f>'Fall Headcount by Class'!$R$5:$R$12</c:f>
              <c:strCache>
                <c:ptCount val="8"/>
                <c:pt idx="0">
                  <c:v>Freshman</c:v>
                </c:pt>
                <c:pt idx="1">
                  <c:v>Sophomore</c:v>
                </c:pt>
                <c:pt idx="2">
                  <c:v>Junior</c:v>
                </c:pt>
                <c:pt idx="3">
                  <c:v>Senior</c:v>
                </c:pt>
                <c:pt idx="4">
                  <c:v>Second Degree</c:v>
                </c:pt>
                <c:pt idx="5">
                  <c:v>Non-Degree/Special</c:v>
                </c:pt>
                <c:pt idx="6">
                  <c:v>Non-Degree Graduate</c:v>
                </c:pt>
                <c:pt idx="7">
                  <c:v>Degree Graduate</c:v>
                </c:pt>
              </c:strCache>
            </c:strRef>
          </c:cat>
          <c:val>
            <c:numRef>
              <c:f>'Fall Headcount by Class'!$X$5:$X$12</c:f>
              <c:numCache>
                <c:formatCode>General</c:formatCode>
                <c:ptCount val="8"/>
                <c:pt idx="0">
                  <c:v>959</c:v>
                </c:pt>
                <c:pt idx="1">
                  <c:v>610</c:v>
                </c:pt>
                <c:pt idx="2">
                  <c:v>607</c:v>
                </c:pt>
                <c:pt idx="3">
                  <c:v>681</c:v>
                </c:pt>
                <c:pt idx="4">
                  <c:v>47</c:v>
                </c:pt>
                <c:pt idx="5">
                  <c:v>65</c:v>
                </c:pt>
                <c:pt idx="6">
                  <c:v>42</c:v>
                </c:pt>
                <c:pt idx="7">
                  <c:v>38</c:v>
                </c:pt>
              </c:numCache>
            </c:numRef>
          </c:val>
        </c:ser>
        <c:dLbls>
          <c:showLegendKey val="0"/>
          <c:showVal val="0"/>
          <c:showCatName val="0"/>
          <c:showSerName val="0"/>
          <c:showPercent val="0"/>
          <c:showBubbleSize val="0"/>
        </c:dLbls>
        <c:gapWidth val="150"/>
        <c:axId val="469010672"/>
        <c:axId val="469352184"/>
      </c:barChart>
      <c:catAx>
        <c:axId val="469010672"/>
        <c:scaling>
          <c:orientation val="minMax"/>
        </c:scaling>
        <c:delete val="0"/>
        <c:axPos val="b"/>
        <c:title>
          <c:tx>
            <c:rich>
              <a:bodyPr/>
              <a:lstStyle/>
              <a:p>
                <a:pPr>
                  <a:defRPr sz="975" b="1" i="0" u="none" strike="noStrike" baseline="0">
                    <a:solidFill>
                      <a:srgbClr val="000000"/>
                    </a:solidFill>
                    <a:latin typeface="Arial"/>
                    <a:ea typeface="Arial"/>
                    <a:cs typeface="Arial"/>
                  </a:defRPr>
                </a:pPr>
                <a:r>
                  <a:rPr lang="en-US"/>
                  <a:t>Class</a:t>
                </a:r>
              </a:p>
            </c:rich>
          </c:tx>
          <c:layout>
            <c:manualLayout>
              <c:xMode val="edge"/>
              <c:yMode val="edge"/>
              <c:x val="0.47695649745909657"/>
              <c:y val="0.9018869800365864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69352184"/>
        <c:crosses val="autoZero"/>
        <c:auto val="1"/>
        <c:lblAlgn val="ctr"/>
        <c:lblOffset val="100"/>
        <c:tickLblSkip val="1"/>
        <c:tickMarkSkip val="1"/>
        <c:noMultiLvlLbl val="0"/>
      </c:catAx>
      <c:valAx>
        <c:axId val="469352184"/>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69010672"/>
        <c:crosses val="autoZero"/>
        <c:crossBetween val="between"/>
      </c:valAx>
      <c:spPr>
        <a:solidFill>
          <a:srgbClr val="FFFFFF"/>
        </a:solidFill>
        <a:ln w="12700">
          <a:solidFill>
            <a:srgbClr val="808080"/>
          </a:solidFill>
          <a:prstDash val="solid"/>
        </a:ln>
      </c:spPr>
    </c:plotArea>
    <c:legend>
      <c:legendPos val="b"/>
      <c:layout>
        <c:manualLayout>
          <c:xMode val="edge"/>
          <c:yMode val="edge"/>
          <c:x val="0.36576835874239122"/>
          <c:y val="0.94905670882048832"/>
          <c:w val="0.23054873717894891"/>
          <c:h val="3.3719182316804062E-2"/>
        </c:manualLayout>
      </c:layout>
      <c:overlay val="0"/>
      <c:spPr>
        <a:solidFill>
          <a:srgbClr val="FFFFFF"/>
        </a:solidFill>
        <a:ln w="25400">
          <a:noFill/>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825" b="0" i="0" u="none" strike="noStrike" baseline="0">
          <a:solidFill>
            <a:srgbClr val="000000"/>
          </a:solidFill>
          <a:latin typeface="Arial"/>
          <a:ea typeface="Arial"/>
          <a:cs typeface="Arial"/>
        </a:defRPr>
      </a:pPr>
      <a:endParaRPr lang="en-US"/>
    </a:p>
  </c:txPr>
  <c:printSettings>
    <c:headerFooter alignWithMargins="0"/>
    <c:pageMargins b="1" l="0.75000000000000377" r="0.75000000000000377" t="1" header="0.5" footer="0.5"/>
    <c:pageSetup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1" i="0" u="none" strike="noStrike" baseline="0">
                <a:solidFill>
                  <a:srgbClr val="000000"/>
                </a:solidFill>
                <a:latin typeface="Arial"/>
                <a:ea typeface="Arial"/>
                <a:cs typeface="Arial"/>
              </a:defRPr>
            </a:pPr>
            <a:r>
              <a:rPr lang="en-US"/>
              <a:t>Spring Enrollment by Class</a:t>
            </a:r>
          </a:p>
        </c:rich>
      </c:tx>
      <c:layout>
        <c:manualLayout>
          <c:xMode val="edge"/>
          <c:yMode val="edge"/>
          <c:x val="0.38585254013666576"/>
          <c:y val="2.8248587570621472E-2"/>
        </c:manualLayout>
      </c:layout>
      <c:overlay val="0"/>
      <c:spPr>
        <a:noFill/>
        <a:ln w="25400">
          <a:noFill/>
        </a:ln>
      </c:spPr>
    </c:title>
    <c:autoTitleDeleted val="0"/>
    <c:plotArea>
      <c:layout>
        <c:manualLayout>
          <c:layoutTarget val="inner"/>
          <c:xMode val="edge"/>
          <c:yMode val="edge"/>
          <c:x val="4.8231561737550367E-2"/>
          <c:y val="0.13747671234388287"/>
          <c:w val="0.88853254845398011"/>
          <c:h val="0.67231762064063361"/>
        </c:manualLayout>
      </c:layout>
      <c:barChart>
        <c:barDir val="col"/>
        <c:grouping val="clustered"/>
        <c:varyColors val="0"/>
        <c:ser>
          <c:idx val="1"/>
          <c:order val="0"/>
          <c:tx>
            <c:strRef>
              <c:f>'Spring Headcount by Class'!$T$4</c:f>
              <c:strCache>
                <c:ptCount val="1"/>
                <c:pt idx="0">
                  <c:v>2009</c:v>
                </c:pt>
              </c:strCache>
            </c:strRef>
          </c:tx>
          <c:spPr>
            <a:solidFill>
              <a:srgbClr val="000000"/>
            </a:solidFill>
            <a:ln w="12700">
              <a:solidFill>
                <a:srgbClr val="000000"/>
              </a:solidFill>
              <a:prstDash val="solid"/>
            </a:ln>
          </c:spPr>
          <c:invertIfNegative val="0"/>
          <c:cat>
            <c:strRef>
              <c:f>'Spring Headcount by Class'!$R$5:$R$12</c:f>
              <c:strCache>
                <c:ptCount val="8"/>
                <c:pt idx="0">
                  <c:v>Freshman</c:v>
                </c:pt>
                <c:pt idx="1">
                  <c:v>Sophomore</c:v>
                </c:pt>
                <c:pt idx="2">
                  <c:v>Junior</c:v>
                </c:pt>
                <c:pt idx="3">
                  <c:v>Senior</c:v>
                </c:pt>
                <c:pt idx="4">
                  <c:v>Second Degree</c:v>
                </c:pt>
                <c:pt idx="5">
                  <c:v>Non-Degree/Special</c:v>
                </c:pt>
                <c:pt idx="6">
                  <c:v>Non-Degree Graduate</c:v>
                </c:pt>
                <c:pt idx="7">
                  <c:v>Degree Graduate</c:v>
                </c:pt>
              </c:strCache>
            </c:strRef>
          </c:cat>
          <c:val>
            <c:numRef>
              <c:f>'Spring Headcount by Class'!$T$5:$T$12</c:f>
              <c:numCache>
                <c:formatCode>General</c:formatCode>
                <c:ptCount val="8"/>
                <c:pt idx="0">
                  <c:v>619</c:v>
                </c:pt>
                <c:pt idx="1">
                  <c:v>474</c:v>
                </c:pt>
                <c:pt idx="2">
                  <c:v>536</c:v>
                </c:pt>
                <c:pt idx="3">
                  <c:v>663</c:v>
                </c:pt>
                <c:pt idx="4">
                  <c:v>42</c:v>
                </c:pt>
                <c:pt idx="5">
                  <c:v>48</c:v>
                </c:pt>
                <c:pt idx="6">
                  <c:v>57</c:v>
                </c:pt>
                <c:pt idx="7">
                  <c:v>37</c:v>
                </c:pt>
              </c:numCache>
            </c:numRef>
          </c:val>
        </c:ser>
        <c:ser>
          <c:idx val="2"/>
          <c:order val="1"/>
          <c:tx>
            <c:strRef>
              <c:f>'Spring Headcount by Class'!$U$4</c:f>
              <c:strCache>
                <c:ptCount val="1"/>
                <c:pt idx="0">
                  <c:v>2010</c:v>
                </c:pt>
              </c:strCache>
            </c:strRef>
          </c:tx>
          <c:spPr>
            <a:solidFill>
              <a:srgbClr val="FFFFFF"/>
            </a:solidFill>
            <a:ln w="12700">
              <a:solidFill>
                <a:srgbClr val="000000"/>
              </a:solidFill>
              <a:prstDash val="solid"/>
            </a:ln>
          </c:spPr>
          <c:invertIfNegative val="0"/>
          <c:cat>
            <c:strRef>
              <c:f>'Spring Headcount by Class'!$R$5:$R$12</c:f>
              <c:strCache>
                <c:ptCount val="8"/>
                <c:pt idx="0">
                  <c:v>Freshman</c:v>
                </c:pt>
                <c:pt idx="1">
                  <c:v>Sophomore</c:v>
                </c:pt>
                <c:pt idx="2">
                  <c:v>Junior</c:v>
                </c:pt>
                <c:pt idx="3">
                  <c:v>Senior</c:v>
                </c:pt>
                <c:pt idx="4">
                  <c:v>Second Degree</c:v>
                </c:pt>
                <c:pt idx="5">
                  <c:v>Non-Degree/Special</c:v>
                </c:pt>
                <c:pt idx="6">
                  <c:v>Non-Degree Graduate</c:v>
                </c:pt>
                <c:pt idx="7">
                  <c:v>Degree Graduate</c:v>
                </c:pt>
              </c:strCache>
            </c:strRef>
          </c:cat>
          <c:val>
            <c:numRef>
              <c:f>'Spring Headcount by Class'!$U$5:$U$12</c:f>
              <c:numCache>
                <c:formatCode>General</c:formatCode>
                <c:ptCount val="8"/>
                <c:pt idx="0">
                  <c:v>471</c:v>
                </c:pt>
                <c:pt idx="1">
                  <c:v>633</c:v>
                </c:pt>
                <c:pt idx="2">
                  <c:v>519</c:v>
                </c:pt>
                <c:pt idx="3">
                  <c:v>904</c:v>
                </c:pt>
                <c:pt idx="4">
                  <c:v>34</c:v>
                </c:pt>
                <c:pt idx="5">
                  <c:v>60</c:v>
                </c:pt>
                <c:pt idx="6">
                  <c:v>50</c:v>
                </c:pt>
                <c:pt idx="7">
                  <c:v>20</c:v>
                </c:pt>
              </c:numCache>
            </c:numRef>
          </c:val>
        </c:ser>
        <c:ser>
          <c:idx val="3"/>
          <c:order val="2"/>
          <c:tx>
            <c:strRef>
              <c:f>'Spring Headcount by Class'!$V$4</c:f>
              <c:strCache>
                <c:ptCount val="1"/>
                <c:pt idx="0">
                  <c:v>2011</c:v>
                </c:pt>
              </c:strCache>
            </c:strRef>
          </c:tx>
          <c:spPr>
            <a:pattFill prst="wdUpDiag">
              <a:fgClr>
                <a:srgbClr val="000000"/>
              </a:fgClr>
              <a:bgClr>
                <a:srgbClr val="FFFFFF"/>
              </a:bgClr>
            </a:pattFill>
            <a:ln w="12700">
              <a:solidFill>
                <a:srgbClr val="000000"/>
              </a:solidFill>
              <a:prstDash val="solid"/>
            </a:ln>
          </c:spPr>
          <c:invertIfNegative val="0"/>
          <c:cat>
            <c:strRef>
              <c:f>'Spring Headcount by Class'!$R$5:$R$12</c:f>
              <c:strCache>
                <c:ptCount val="8"/>
                <c:pt idx="0">
                  <c:v>Freshman</c:v>
                </c:pt>
                <c:pt idx="1">
                  <c:v>Sophomore</c:v>
                </c:pt>
                <c:pt idx="2">
                  <c:v>Junior</c:v>
                </c:pt>
                <c:pt idx="3">
                  <c:v>Senior</c:v>
                </c:pt>
                <c:pt idx="4">
                  <c:v>Second Degree</c:v>
                </c:pt>
                <c:pt idx="5">
                  <c:v>Non-Degree/Special</c:v>
                </c:pt>
                <c:pt idx="6">
                  <c:v>Non-Degree Graduate</c:v>
                </c:pt>
                <c:pt idx="7">
                  <c:v>Degree Graduate</c:v>
                </c:pt>
              </c:strCache>
            </c:strRef>
          </c:cat>
          <c:val>
            <c:numRef>
              <c:f>'Spring Headcount by Class'!$V$5:$V$12</c:f>
              <c:numCache>
                <c:formatCode>General</c:formatCode>
                <c:ptCount val="8"/>
                <c:pt idx="0">
                  <c:v>505</c:v>
                </c:pt>
                <c:pt idx="1">
                  <c:v>717</c:v>
                </c:pt>
                <c:pt idx="2">
                  <c:v>562</c:v>
                </c:pt>
                <c:pt idx="3">
                  <c:v>906</c:v>
                </c:pt>
                <c:pt idx="4">
                  <c:v>38</c:v>
                </c:pt>
                <c:pt idx="5">
                  <c:v>24</c:v>
                </c:pt>
                <c:pt idx="6">
                  <c:v>69</c:v>
                </c:pt>
                <c:pt idx="7">
                  <c:v>25</c:v>
                </c:pt>
              </c:numCache>
            </c:numRef>
          </c:val>
        </c:ser>
        <c:ser>
          <c:idx val="4"/>
          <c:order val="3"/>
          <c:tx>
            <c:strRef>
              <c:f>'Spring Headcount by Class'!$W$4</c:f>
              <c:strCache>
                <c:ptCount val="1"/>
                <c:pt idx="0">
                  <c:v>2012</c:v>
                </c:pt>
              </c:strCache>
            </c:strRef>
          </c:tx>
          <c:spPr>
            <a:pattFill prst="lgConfetti">
              <a:fgClr>
                <a:srgbClr val="FFFFFF"/>
              </a:fgClr>
              <a:bgClr>
                <a:srgbClr val="000000"/>
              </a:bgClr>
            </a:pattFill>
            <a:ln w="12700">
              <a:solidFill>
                <a:srgbClr val="000000"/>
              </a:solidFill>
              <a:prstDash val="solid"/>
            </a:ln>
          </c:spPr>
          <c:invertIfNegative val="0"/>
          <c:cat>
            <c:strRef>
              <c:f>'Spring Headcount by Class'!$R$5:$R$12</c:f>
              <c:strCache>
                <c:ptCount val="8"/>
                <c:pt idx="0">
                  <c:v>Freshman</c:v>
                </c:pt>
                <c:pt idx="1">
                  <c:v>Sophomore</c:v>
                </c:pt>
                <c:pt idx="2">
                  <c:v>Junior</c:v>
                </c:pt>
                <c:pt idx="3">
                  <c:v>Senior</c:v>
                </c:pt>
                <c:pt idx="4">
                  <c:v>Second Degree</c:v>
                </c:pt>
                <c:pt idx="5">
                  <c:v>Non-Degree/Special</c:v>
                </c:pt>
                <c:pt idx="6">
                  <c:v>Non-Degree Graduate</c:v>
                </c:pt>
                <c:pt idx="7">
                  <c:v>Degree Graduate</c:v>
                </c:pt>
              </c:strCache>
            </c:strRef>
          </c:cat>
          <c:val>
            <c:numRef>
              <c:f>'Spring Headcount by Class'!$W$5:$W$12</c:f>
              <c:numCache>
                <c:formatCode>General</c:formatCode>
                <c:ptCount val="8"/>
                <c:pt idx="0">
                  <c:v>459</c:v>
                </c:pt>
                <c:pt idx="1">
                  <c:v>660</c:v>
                </c:pt>
                <c:pt idx="2">
                  <c:v>618</c:v>
                </c:pt>
                <c:pt idx="3">
                  <c:v>963</c:v>
                </c:pt>
                <c:pt idx="4">
                  <c:v>40</c:v>
                </c:pt>
                <c:pt idx="5">
                  <c:v>24</c:v>
                </c:pt>
                <c:pt idx="6">
                  <c:v>61</c:v>
                </c:pt>
                <c:pt idx="7">
                  <c:v>24</c:v>
                </c:pt>
              </c:numCache>
            </c:numRef>
          </c:val>
        </c:ser>
        <c:ser>
          <c:idx val="5"/>
          <c:order val="4"/>
          <c:tx>
            <c:strRef>
              <c:f>'Spring Headcount by Class'!$X$4</c:f>
              <c:strCache>
                <c:ptCount val="1"/>
                <c:pt idx="0">
                  <c:v>2013</c:v>
                </c:pt>
              </c:strCache>
            </c:strRef>
          </c:tx>
          <c:spPr>
            <a:solidFill>
              <a:schemeClr val="bg1">
                <a:lumMod val="65000"/>
              </a:schemeClr>
            </a:solidFill>
          </c:spPr>
          <c:invertIfNegative val="0"/>
          <c:cat>
            <c:strRef>
              <c:f>'Spring Headcount by Class'!$R$5:$R$12</c:f>
              <c:strCache>
                <c:ptCount val="8"/>
                <c:pt idx="0">
                  <c:v>Freshman</c:v>
                </c:pt>
                <c:pt idx="1">
                  <c:v>Sophomore</c:v>
                </c:pt>
                <c:pt idx="2">
                  <c:v>Junior</c:v>
                </c:pt>
                <c:pt idx="3">
                  <c:v>Senior</c:v>
                </c:pt>
                <c:pt idx="4">
                  <c:v>Second Degree</c:v>
                </c:pt>
                <c:pt idx="5">
                  <c:v>Non-Degree/Special</c:v>
                </c:pt>
                <c:pt idx="6">
                  <c:v>Non-Degree Graduate</c:v>
                </c:pt>
                <c:pt idx="7">
                  <c:v>Degree Graduate</c:v>
                </c:pt>
              </c:strCache>
            </c:strRef>
          </c:cat>
          <c:val>
            <c:numRef>
              <c:f>'Spring Headcount by Class'!$X$5:$X$12</c:f>
              <c:numCache>
                <c:formatCode>General</c:formatCode>
                <c:ptCount val="8"/>
                <c:pt idx="0">
                  <c:v>677</c:v>
                </c:pt>
                <c:pt idx="1">
                  <c:v>605</c:v>
                </c:pt>
                <c:pt idx="2">
                  <c:v>609</c:v>
                </c:pt>
                <c:pt idx="3">
                  <c:v>730</c:v>
                </c:pt>
                <c:pt idx="4">
                  <c:v>44</c:v>
                </c:pt>
                <c:pt idx="5">
                  <c:v>20</c:v>
                </c:pt>
                <c:pt idx="6">
                  <c:v>44</c:v>
                </c:pt>
                <c:pt idx="7">
                  <c:v>51</c:v>
                </c:pt>
              </c:numCache>
            </c:numRef>
          </c:val>
        </c:ser>
        <c:dLbls>
          <c:showLegendKey val="0"/>
          <c:showVal val="0"/>
          <c:showCatName val="0"/>
          <c:showSerName val="0"/>
          <c:showPercent val="0"/>
          <c:showBubbleSize val="0"/>
        </c:dLbls>
        <c:gapWidth val="150"/>
        <c:axId val="469352968"/>
        <c:axId val="469353360"/>
      </c:barChart>
      <c:catAx>
        <c:axId val="469352968"/>
        <c:scaling>
          <c:orientation val="minMax"/>
        </c:scaling>
        <c:delete val="0"/>
        <c:axPos val="b"/>
        <c:title>
          <c:tx>
            <c:rich>
              <a:bodyPr/>
              <a:lstStyle/>
              <a:p>
                <a:pPr>
                  <a:defRPr sz="975" b="1" i="0" u="none" strike="noStrike" baseline="0">
                    <a:solidFill>
                      <a:srgbClr val="000000"/>
                    </a:solidFill>
                    <a:latin typeface="Arial"/>
                    <a:ea typeface="Arial"/>
                    <a:cs typeface="Arial"/>
                  </a:defRPr>
                </a:pPr>
                <a:r>
                  <a:rPr lang="en-US"/>
                  <a:t>Class</a:t>
                </a:r>
              </a:p>
            </c:rich>
          </c:tx>
          <c:layout>
            <c:manualLayout>
              <c:xMode val="edge"/>
              <c:yMode val="edge"/>
              <c:x val="0.47266926039389973"/>
              <c:y val="0.8888904706120820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69353360"/>
        <c:crosses val="autoZero"/>
        <c:auto val="1"/>
        <c:lblAlgn val="ctr"/>
        <c:lblOffset val="100"/>
        <c:tickLblSkip val="1"/>
        <c:tickMarkSkip val="1"/>
        <c:noMultiLvlLbl val="0"/>
      </c:catAx>
      <c:valAx>
        <c:axId val="46935336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69352968"/>
        <c:crosses val="autoZero"/>
        <c:crossBetween val="between"/>
      </c:valAx>
      <c:spPr>
        <a:solidFill>
          <a:srgbClr val="FFFFFF"/>
        </a:solidFill>
        <a:ln w="12700">
          <a:solidFill>
            <a:srgbClr val="808080"/>
          </a:solidFill>
          <a:prstDash val="solid"/>
        </a:ln>
      </c:spPr>
    </c:plotArea>
    <c:legend>
      <c:legendPos val="b"/>
      <c:layout>
        <c:manualLayout>
          <c:xMode val="edge"/>
          <c:yMode val="edge"/>
          <c:x val="0.34488225727910032"/>
          <c:y val="0.95292080015421865"/>
          <c:w val="0.30504996677048973"/>
          <c:h val="3.9548022598870032E-2"/>
        </c:manualLayout>
      </c:layout>
      <c:overlay val="0"/>
      <c:spPr>
        <a:solidFill>
          <a:srgbClr val="FFFFFF"/>
        </a:solidFill>
        <a:ln w="25400">
          <a:noFill/>
        </a:ln>
      </c:spPr>
      <c:txPr>
        <a:bodyPr/>
        <a:lstStyle/>
        <a:p>
          <a:pPr>
            <a:defRPr sz="105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825" b="0" i="0" u="none" strike="noStrike" baseline="0">
          <a:solidFill>
            <a:srgbClr val="000000"/>
          </a:solidFill>
          <a:latin typeface="Arial"/>
          <a:ea typeface="Arial"/>
          <a:cs typeface="Arial"/>
        </a:defRPr>
      </a:pPr>
      <a:endParaRPr lang="en-US"/>
    </a:p>
  </c:txPr>
  <c:printSettings>
    <c:headerFooter alignWithMargins="0"/>
    <c:pageMargins b="1" l="0.75000000000000377" r="0.75000000000000377" t="1" header="0.5" footer="0.5"/>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1" i="0" u="none" strike="noStrike" baseline="0">
                <a:solidFill>
                  <a:srgbClr val="000000"/>
                </a:solidFill>
                <a:latin typeface="Arial"/>
                <a:ea typeface="Arial"/>
                <a:cs typeface="Arial"/>
              </a:defRPr>
            </a:pPr>
            <a:r>
              <a:rPr lang="en-US"/>
              <a:t>Summer Enrollment by Class</a:t>
            </a:r>
          </a:p>
        </c:rich>
      </c:tx>
      <c:layout>
        <c:manualLayout>
          <c:xMode val="edge"/>
          <c:yMode val="edge"/>
          <c:x val="0.38070011662115927"/>
          <c:y val="2.8355387523629799E-2"/>
        </c:manualLayout>
      </c:layout>
      <c:overlay val="0"/>
      <c:spPr>
        <a:noFill/>
        <a:ln w="25400">
          <a:noFill/>
        </a:ln>
      </c:spPr>
    </c:title>
    <c:autoTitleDeleted val="0"/>
    <c:plotArea>
      <c:layout>
        <c:manualLayout>
          <c:layoutTarget val="inner"/>
          <c:xMode val="edge"/>
          <c:yMode val="edge"/>
          <c:x val="5.1961850871683452E-2"/>
          <c:y val="0.16068067761315938"/>
          <c:w val="0.87592834326552582"/>
          <c:h val="0.66162631958360918"/>
        </c:manualLayout>
      </c:layout>
      <c:barChart>
        <c:barDir val="col"/>
        <c:grouping val="clustered"/>
        <c:varyColors val="0"/>
        <c:ser>
          <c:idx val="0"/>
          <c:order val="0"/>
          <c:tx>
            <c:strRef>
              <c:f>'Summer Headcount by Class'!$P$5</c:f>
              <c:strCache>
                <c:ptCount val="1"/>
                <c:pt idx="0">
                  <c:v>2009</c:v>
                </c:pt>
              </c:strCache>
            </c:strRef>
          </c:tx>
          <c:spPr>
            <a:solidFill>
              <a:srgbClr val="C0C0C0"/>
            </a:solidFill>
            <a:ln w="12700">
              <a:solidFill>
                <a:srgbClr val="000000"/>
              </a:solidFill>
              <a:prstDash val="solid"/>
            </a:ln>
          </c:spPr>
          <c:invertIfNegative val="0"/>
          <c:cat>
            <c:strRef>
              <c:f>'Summer Headcount by Class'!$N$6:$N$13</c:f>
              <c:strCache>
                <c:ptCount val="8"/>
                <c:pt idx="0">
                  <c:v>Freshman</c:v>
                </c:pt>
                <c:pt idx="1">
                  <c:v>Sophomore</c:v>
                </c:pt>
                <c:pt idx="2">
                  <c:v>Junior</c:v>
                </c:pt>
                <c:pt idx="3">
                  <c:v>Senior</c:v>
                </c:pt>
                <c:pt idx="4">
                  <c:v>Second Degree</c:v>
                </c:pt>
                <c:pt idx="5">
                  <c:v>Non-Degree/Special</c:v>
                </c:pt>
                <c:pt idx="6">
                  <c:v>Non-Degree Graduate</c:v>
                </c:pt>
                <c:pt idx="7">
                  <c:v>Degree Graduate</c:v>
                </c:pt>
              </c:strCache>
            </c:strRef>
          </c:cat>
          <c:val>
            <c:numRef>
              <c:f>'Summer Headcount by Class'!$P$6:$P$13</c:f>
              <c:numCache>
                <c:formatCode>General</c:formatCode>
                <c:ptCount val="8"/>
                <c:pt idx="0">
                  <c:v>27</c:v>
                </c:pt>
                <c:pt idx="1">
                  <c:v>88</c:v>
                </c:pt>
                <c:pt idx="2">
                  <c:v>144</c:v>
                </c:pt>
                <c:pt idx="3">
                  <c:v>293</c:v>
                </c:pt>
                <c:pt idx="4">
                  <c:v>17</c:v>
                </c:pt>
                <c:pt idx="5">
                  <c:v>235</c:v>
                </c:pt>
                <c:pt idx="6">
                  <c:v>120</c:v>
                </c:pt>
                <c:pt idx="7">
                  <c:v>38</c:v>
                </c:pt>
              </c:numCache>
            </c:numRef>
          </c:val>
        </c:ser>
        <c:ser>
          <c:idx val="1"/>
          <c:order val="1"/>
          <c:tx>
            <c:strRef>
              <c:f>'Summer Headcount by Class'!$Q$5</c:f>
              <c:strCache>
                <c:ptCount val="1"/>
                <c:pt idx="0">
                  <c:v>2010</c:v>
                </c:pt>
              </c:strCache>
            </c:strRef>
          </c:tx>
          <c:spPr>
            <a:solidFill>
              <a:srgbClr val="000000"/>
            </a:solidFill>
            <a:ln w="12700">
              <a:solidFill>
                <a:srgbClr val="000000"/>
              </a:solidFill>
              <a:prstDash val="solid"/>
            </a:ln>
          </c:spPr>
          <c:invertIfNegative val="0"/>
          <c:cat>
            <c:strRef>
              <c:f>'Summer Headcount by Class'!$N$6:$N$13</c:f>
              <c:strCache>
                <c:ptCount val="8"/>
                <c:pt idx="0">
                  <c:v>Freshman</c:v>
                </c:pt>
                <c:pt idx="1">
                  <c:v>Sophomore</c:v>
                </c:pt>
                <c:pt idx="2">
                  <c:v>Junior</c:v>
                </c:pt>
                <c:pt idx="3">
                  <c:v>Senior</c:v>
                </c:pt>
                <c:pt idx="4">
                  <c:v>Second Degree</c:v>
                </c:pt>
                <c:pt idx="5">
                  <c:v>Non-Degree/Special</c:v>
                </c:pt>
                <c:pt idx="6">
                  <c:v>Non-Degree Graduate</c:v>
                </c:pt>
                <c:pt idx="7">
                  <c:v>Degree Graduate</c:v>
                </c:pt>
              </c:strCache>
            </c:strRef>
          </c:cat>
          <c:val>
            <c:numRef>
              <c:f>'Summer Headcount by Class'!$Q$6:$Q$13</c:f>
              <c:numCache>
                <c:formatCode>General</c:formatCode>
                <c:ptCount val="8"/>
                <c:pt idx="0">
                  <c:v>36</c:v>
                </c:pt>
                <c:pt idx="1">
                  <c:v>119</c:v>
                </c:pt>
                <c:pt idx="2">
                  <c:v>135</c:v>
                </c:pt>
                <c:pt idx="3">
                  <c:v>272</c:v>
                </c:pt>
                <c:pt idx="4">
                  <c:v>12</c:v>
                </c:pt>
                <c:pt idx="5">
                  <c:v>238</c:v>
                </c:pt>
                <c:pt idx="6">
                  <c:v>174</c:v>
                </c:pt>
                <c:pt idx="7">
                  <c:v>28</c:v>
                </c:pt>
              </c:numCache>
            </c:numRef>
          </c:val>
        </c:ser>
        <c:ser>
          <c:idx val="2"/>
          <c:order val="2"/>
          <c:tx>
            <c:strRef>
              <c:f>'Summer Headcount by Class'!$R$5</c:f>
              <c:strCache>
                <c:ptCount val="1"/>
                <c:pt idx="0">
                  <c:v>2011</c:v>
                </c:pt>
              </c:strCache>
            </c:strRef>
          </c:tx>
          <c:spPr>
            <a:solidFill>
              <a:srgbClr val="FFFFFF"/>
            </a:solidFill>
            <a:ln w="12700">
              <a:solidFill>
                <a:srgbClr val="000000"/>
              </a:solidFill>
              <a:prstDash val="solid"/>
            </a:ln>
          </c:spPr>
          <c:invertIfNegative val="0"/>
          <c:cat>
            <c:strRef>
              <c:f>'Summer Headcount by Class'!$N$6:$N$13</c:f>
              <c:strCache>
                <c:ptCount val="8"/>
                <c:pt idx="0">
                  <c:v>Freshman</c:v>
                </c:pt>
                <c:pt idx="1">
                  <c:v>Sophomore</c:v>
                </c:pt>
                <c:pt idx="2">
                  <c:v>Junior</c:v>
                </c:pt>
                <c:pt idx="3">
                  <c:v>Senior</c:v>
                </c:pt>
                <c:pt idx="4">
                  <c:v>Second Degree</c:v>
                </c:pt>
                <c:pt idx="5">
                  <c:v>Non-Degree/Special</c:v>
                </c:pt>
                <c:pt idx="6">
                  <c:v>Non-Degree Graduate</c:v>
                </c:pt>
                <c:pt idx="7">
                  <c:v>Degree Graduate</c:v>
                </c:pt>
              </c:strCache>
            </c:strRef>
          </c:cat>
          <c:val>
            <c:numRef>
              <c:f>'Summer Headcount by Class'!$R$6:$R$13</c:f>
              <c:numCache>
                <c:formatCode>General</c:formatCode>
                <c:ptCount val="8"/>
                <c:pt idx="0">
                  <c:v>29</c:v>
                </c:pt>
                <c:pt idx="1">
                  <c:v>126</c:v>
                </c:pt>
                <c:pt idx="2">
                  <c:v>135</c:v>
                </c:pt>
                <c:pt idx="3">
                  <c:v>290</c:v>
                </c:pt>
                <c:pt idx="4">
                  <c:v>16</c:v>
                </c:pt>
                <c:pt idx="5">
                  <c:v>198</c:v>
                </c:pt>
                <c:pt idx="6">
                  <c:v>190</c:v>
                </c:pt>
                <c:pt idx="7">
                  <c:v>30</c:v>
                </c:pt>
              </c:numCache>
            </c:numRef>
          </c:val>
        </c:ser>
        <c:ser>
          <c:idx val="3"/>
          <c:order val="3"/>
          <c:tx>
            <c:strRef>
              <c:f>'Summer Headcount by Class'!$S$5</c:f>
              <c:strCache>
                <c:ptCount val="1"/>
                <c:pt idx="0">
                  <c:v>2012</c:v>
                </c:pt>
              </c:strCache>
            </c:strRef>
          </c:tx>
          <c:spPr>
            <a:pattFill prst="wdUpDiag">
              <a:fgClr>
                <a:srgbClr val="000000"/>
              </a:fgClr>
              <a:bgClr>
                <a:srgbClr val="FFFFFF"/>
              </a:bgClr>
            </a:pattFill>
            <a:ln w="12700">
              <a:solidFill>
                <a:srgbClr val="000000"/>
              </a:solidFill>
              <a:prstDash val="solid"/>
            </a:ln>
          </c:spPr>
          <c:invertIfNegative val="0"/>
          <c:cat>
            <c:strRef>
              <c:f>'Summer Headcount by Class'!$N$6:$N$13</c:f>
              <c:strCache>
                <c:ptCount val="8"/>
                <c:pt idx="0">
                  <c:v>Freshman</c:v>
                </c:pt>
                <c:pt idx="1">
                  <c:v>Sophomore</c:v>
                </c:pt>
                <c:pt idx="2">
                  <c:v>Junior</c:v>
                </c:pt>
                <c:pt idx="3">
                  <c:v>Senior</c:v>
                </c:pt>
                <c:pt idx="4">
                  <c:v>Second Degree</c:v>
                </c:pt>
                <c:pt idx="5">
                  <c:v>Non-Degree/Special</c:v>
                </c:pt>
                <c:pt idx="6">
                  <c:v>Non-Degree Graduate</c:v>
                </c:pt>
                <c:pt idx="7">
                  <c:v>Degree Graduate</c:v>
                </c:pt>
              </c:strCache>
            </c:strRef>
          </c:cat>
          <c:val>
            <c:numRef>
              <c:f>'Summer Headcount by Class'!$S$6:$S$13</c:f>
              <c:numCache>
                <c:formatCode>General</c:formatCode>
                <c:ptCount val="8"/>
                <c:pt idx="0">
                  <c:v>19</c:v>
                </c:pt>
                <c:pt idx="1">
                  <c:v>85</c:v>
                </c:pt>
                <c:pt idx="2">
                  <c:v>182</c:v>
                </c:pt>
                <c:pt idx="3">
                  <c:v>306</c:v>
                </c:pt>
                <c:pt idx="4">
                  <c:v>21</c:v>
                </c:pt>
                <c:pt idx="5">
                  <c:v>147</c:v>
                </c:pt>
                <c:pt idx="6">
                  <c:v>196</c:v>
                </c:pt>
                <c:pt idx="7">
                  <c:v>47</c:v>
                </c:pt>
              </c:numCache>
            </c:numRef>
          </c:val>
        </c:ser>
        <c:ser>
          <c:idx val="4"/>
          <c:order val="4"/>
          <c:tx>
            <c:strRef>
              <c:f>'Summer Headcount by Class'!$T$5</c:f>
              <c:strCache>
                <c:ptCount val="1"/>
                <c:pt idx="0">
                  <c:v>2013</c:v>
                </c:pt>
              </c:strCache>
            </c:strRef>
          </c:tx>
          <c:spPr>
            <a:pattFill prst="pct80">
              <a:fgClr>
                <a:schemeClr val="tx1"/>
              </a:fgClr>
              <a:bgClr>
                <a:schemeClr val="bg1"/>
              </a:bgClr>
            </a:pattFill>
          </c:spPr>
          <c:invertIfNegative val="0"/>
          <c:cat>
            <c:strRef>
              <c:f>'Summer Headcount by Class'!$N$6:$N$13</c:f>
              <c:strCache>
                <c:ptCount val="8"/>
                <c:pt idx="0">
                  <c:v>Freshman</c:v>
                </c:pt>
                <c:pt idx="1">
                  <c:v>Sophomore</c:v>
                </c:pt>
                <c:pt idx="2">
                  <c:v>Junior</c:v>
                </c:pt>
                <c:pt idx="3">
                  <c:v>Senior</c:v>
                </c:pt>
                <c:pt idx="4">
                  <c:v>Second Degree</c:v>
                </c:pt>
                <c:pt idx="5">
                  <c:v>Non-Degree/Special</c:v>
                </c:pt>
                <c:pt idx="6">
                  <c:v>Non-Degree Graduate</c:v>
                </c:pt>
                <c:pt idx="7">
                  <c:v>Degree Graduate</c:v>
                </c:pt>
              </c:strCache>
            </c:strRef>
          </c:cat>
          <c:val>
            <c:numRef>
              <c:f>'Summer Headcount by Class'!$T$6:$T$13</c:f>
              <c:numCache>
                <c:formatCode>General</c:formatCode>
                <c:ptCount val="8"/>
                <c:pt idx="0">
                  <c:v>15</c:v>
                </c:pt>
                <c:pt idx="1">
                  <c:v>76</c:v>
                </c:pt>
                <c:pt idx="2">
                  <c:v>151</c:v>
                </c:pt>
                <c:pt idx="3">
                  <c:v>310</c:v>
                </c:pt>
                <c:pt idx="4">
                  <c:v>24</c:v>
                </c:pt>
                <c:pt idx="5">
                  <c:v>143</c:v>
                </c:pt>
                <c:pt idx="6">
                  <c:v>135</c:v>
                </c:pt>
                <c:pt idx="7">
                  <c:v>50</c:v>
                </c:pt>
              </c:numCache>
            </c:numRef>
          </c:val>
        </c:ser>
        <c:dLbls>
          <c:showLegendKey val="0"/>
          <c:showVal val="0"/>
          <c:showCatName val="0"/>
          <c:showSerName val="0"/>
          <c:showPercent val="0"/>
          <c:showBubbleSize val="0"/>
        </c:dLbls>
        <c:gapWidth val="150"/>
        <c:axId val="469354144"/>
        <c:axId val="469354536"/>
      </c:barChart>
      <c:catAx>
        <c:axId val="469354144"/>
        <c:scaling>
          <c:orientation val="minMax"/>
        </c:scaling>
        <c:delete val="0"/>
        <c:axPos val="b"/>
        <c:title>
          <c:tx>
            <c:rich>
              <a:bodyPr/>
              <a:lstStyle/>
              <a:p>
                <a:pPr>
                  <a:defRPr sz="975" b="1" i="0" u="none" strike="noStrike" baseline="0">
                    <a:solidFill>
                      <a:srgbClr val="000000"/>
                    </a:solidFill>
                    <a:latin typeface="Arial"/>
                    <a:ea typeface="Arial"/>
                    <a:cs typeface="Arial"/>
                  </a:defRPr>
                </a:pPr>
                <a:r>
                  <a:rPr lang="en-US"/>
                  <a:t>Class</a:t>
                </a:r>
              </a:p>
            </c:rich>
          </c:tx>
          <c:layout>
            <c:manualLayout>
              <c:xMode val="edge"/>
              <c:yMode val="edge"/>
              <c:x val="0.47083797452147746"/>
              <c:y val="0.9017021171030369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69354536"/>
        <c:crosses val="autoZero"/>
        <c:auto val="1"/>
        <c:lblAlgn val="ctr"/>
        <c:lblOffset val="100"/>
        <c:tickLblSkip val="1"/>
        <c:tickMarkSkip val="1"/>
        <c:noMultiLvlLbl val="0"/>
      </c:catAx>
      <c:valAx>
        <c:axId val="469354536"/>
        <c:scaling>
          <c:orientation val="minMax"/>
          <c:max val="45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69354144"/>
        <c:crosses val="autoZero"/>
        <c:crossBetween val="between"/>
        <c:majorUnit val="50"/>
        <c:minorUnit val="50"/>
      </c:valAx>
      <c:spPr>
        <a:solidFill>
          <a:srgbClr val="FFFFFF"/>
        </a:solidFill>
        <a:ln w="12700">
          <a:solidFill>
            <a:srgbClr val="808080"/>
          </a:solidFill>
          <a:prstDash val="solid"/>
        </a:ln>
      </c:spPr>
    </c:plotArea>
    <c:legend>
      <c:legendPos val="b"/>
      <c:layout>
        <c:manualLayout>
          <c:xMode val="edge"/>
          <c:yMode val="edge"/>
          <c:x val="0.37221655352466204"/>
          <c:y val="0.95085145547732863"/>
          <c:w val="0.24179757776024688"/>
          <c:h val="4.1081569954732569E-2"/>
        </c:manualLayout>
      </c:layout>
      <c:overlay val="0"/>
      <c:spPr>
        <a:solidFill>
          <a:srgbClr val="FFFFFF"/>
        </a:solidFill>
        <a:ln w="25400">
          <a:noFill/>
        </a:ln>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825" b="0" i="0" u="none" strike="noStrike" baseline="0">
          <a:solidFill>
            <a:srgbClr val="000000"/>
          </a:solidFill>
          <a:latin typeface="Arial"/>
          <a:ea typeface="Arial"/>
          <a:cs typeface="Arial"/>
        </a:defRPr>
      </a:pPr>
      <a:endParaRPr lang="en-US"/>
    </a:p>
  </c:txPr>
  <c:printSettings>
    <c:headerFooter alignWithMargins="0"/>
    <c:pageMargins b="1" l="0.75000000000000377" r="0.75000000000000377" t="1" header="0.5" footer="0.5"/>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Number of Online Courses Offered by Semester</a:t>
            </a:r>
          </a:p>
        </c:rich>
      </c:tx>
      <c:layout>
        <c:manualLayout>
          <c:xMode val="edge"/>
          <c:yMode val="edge"/>
          <c:x val="0.2406145136294823"/>
          <c:y val="3.6912751677852351E-2"/>
        </c:manualLayout>
      </c:layout>
      <c:overlay val="0"/>
      <c:spPr>
        <a:noFill/>
        <a:ln w="25400">
          <a:noFill/>
        </a:ln>
      </c:spPr>
    </c:title>
    <c:autoTitleDeleted val="0"/>
    <c:plotArea>
      <c:layout>
        <c:manualLayout>
          <c:layoutTarget val="inner"/>
          <c:xMode val="edge"/>
          <c:yMode val="edge"/>
          <c:x val="6.4846470415214422E-2"/>
          <c:y val="0.19798690158822879"/>
          <c:w val="0.90785058581300149"/>
          <c:h val="0.51342366005082718"/>
        </c:manualLayout>
      </c:layout>
      <c:barChart>
        <c:barDir val="col"/>
        <c:grouping val="clustered"/>
        <c:varyColors val="0"/>
        <c:ser>
          <c:idx val="0"/>
          <c:order val="0"/>
          <c:tx>
            <c:strRef>
              <c:f>'Number of Online Courses'!$D$5</c:f>
              <c:strCache>
                <c:ptCount val="1"/>
                <c:pt idx="0">
                  <c:v>Fall</c:v>
                </c:pt>
              </c:strCache>
            </c:strRef>
          </c:tx>
          <c:spPr>
            <a:solidFill>
              <a:srgbClr val="C0C0C0"/>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'Number of Online Courses'!$C$6:$C$17</c:f>
              <c:strCache>
                <c:ptCount val="12"/>
                <c:pt idx="0">
                  <c:v>2001-2002</c:v>
                </c:pt>
                <c:pt idx="1">
                  <c:v>2002-2003</c:v>
                </c:pt>
                <c:pt idx="2">
                  <c:v>2003-2004</c:v>
                </c:pt>
                <c:pt idx="3">
                  <c:v>2004-2005</c:v>
                </c:pt>
                <c:pt idx="4">
                  <c:v>2005-2006</c:v>
                </c:pt>
                <c:pt idx="5">
                  <c:v>2006-2007</c:v>
                </c:pt>
                <c:pt idx="6">
                  <c:v>2007-2008</c:v>
                </c:pt>
                <c:pt idx="7">
                  <c:v>2008-2009</c:v>
                </c:pt>
                <c:pt idx="8">
                  <c:v>2009-2010</c:v>
                </c:pt>
                <c:pt idx="9">
                  <c:v>2010-2011</c:v>
                </c:pt>
                <c:pt idx="10">
                  <c:v>2011-2012</c:v>
                </c:pt>
                <c:pt idx="11">
                  <c:v>2012-2013</c:v>
                </c:pt>
              </c:strCache>
            </c:strRef>
          </c:cat>
          <c:val>
            <c:numRef>
              <c:f>'Number of Online Courses'!$D$6:$D$17</c:f>
              <c:numCache>
                <c:formatCode>General</c:formatCode>
                <c:ptCount val="12"/>
                <c:pt idx="0">
                  <c:v>4</c:v>
                </c:pt>
                <c:pt idx="1">
                  <c:v>7</c:v>
                </c:pt>
                <c:pt idx="2">
                  <c:v>11</c:v>
                </c:pt>
                <c:pt idx="3">
                  <c:v>13</c:v>
                </c:pt>
                <c:pt idx="4">
                  <c:v>17</c:v>
                </c:pt>
                <c:pt idx="5">
                  <c:v>21</c:v>
                </c:pt>
                <c:pt idx="6">
                  <c:v>23</c:v>
                </c:pt>
                <c:pt idx="7">
                  <c:v>30</c:v>
                </c:pt>
                <c:pt idx="8">
                  <c:v>35</c:v>
                </c:pt>
                <c:pt idx="9">
                  <c:v>40</c:v>
                </c:pt>
                <c:pt idx="10">
                  <c:v>45</c:v>
                </c:pt>
                <c:pt idx="11">
                  <c:v>43</c:v>
                </c:pt>
              </c:numCache>
            </c:numRef>
          </c:val>
        </c:ser>
        <c:ser>
          <c:idx val="1"/>
          <c:order val="1"/>
          <c:tx>
            <c:strRef>
              <c:f>'Number of Online Courses'!$E$5</c:f>
              <c:strCache>
                <c:ptCount val="1"/>
                <c:pt idx="0">
                  <c:v>Spring</c:v>
                </c:pt>
              </c:strCache>
            </c:strRef>
          </c:tx>
          <c:spPr>
            <a:solidFill>
              <a:srgbClr val="FFFFFF"/>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'Number of Online Courses'!$C$6:$C$17</c:f>
              <c:strCache>
                <c:ptCount val="12"/>
                <c:pt idx="0">
                  <c:v>2001-2002</c:v>
                </c:pt>
                <c:pt idx="1">
                  <c:v>2002-2003</c:v>
                </c:pt>
                <c:pt idx="2">
                  <c:v>2003-2004</c:v>
                </c:pt>
                <c:pt idx="3">
                  <c:v>2004-2005</c:v>
                </c:pt>
                <c:pt idx="4">
                  <c:v>2005-2006</c:v>
                </c:pt>
                <c:pt idx="5">
                  <c:v>2006-2007</c:v>
                </c:pt>
                <c:pt idx="6">
                  <c:v>2007-2008</c:v>
                </c:pt>
                <c:pt idx="7">
                  <c:v>2008-2009</c:v>
                </c:pt>
                <c:pt idx="8">
                  <c:v>2009-2010</c:v>
                </c:pt>
                <c:pt idx="9">
                  <c:v>2010-2011</c:v>
                </c:pt>
                <c:pt idx="10">
                  <c:v>2011-2012</c:v>
                </c:pt>
                <c:pt idx="11">
                  <c:v>2012-2013</c:v>
                </c:pt>
              </c:strCache>
            </c:strRef>
          </c:cat>
          <c:val>
            <c:numRef>
              <c:f>'Number of Online Courses'!$E$6:$E$17</c:f>
              <c:numCache>
                <c:formatCode>General</c:formatCode>
                <c:ptCount val="12"/>
                <c:pt idx="0">
                  <c:v>6</c:v>
                </c:pt>
                <c:pt idx="1">
                  <c:v>10</c:v>
                </c:pt>
                <c:pt idx="2">
                  <c:v>10</c:v>
                </c:pt>
                <c:pt idx="3">
                  <c:v>14</c:v>
                </c:pt>
                <c:pt idx="4">
                  <c:v>17</c:v>
                </c:pt>
                <c:pt idx="5">
                  <c:v>18</c:v>
                </c:pt>
                <c:pt idx="6">
                  <c:v>29</c:v>
                </c:pt>
                <c:pt idx="7">
                  <c:v>36</c:v>
                </c:pt>
                <c:pt idx="8">
                  <c:v>50</c:v>
                </c:pt>
                <c:pt idx="9">
                  <c:v>57</c:v>
                </c:pt>
                <c:pt idx="10">
                  <c:v>62</c:v>
                </c:pt>
                <c:pt idx="11">
                  <c:v>56</c:v>
                </c:pt>
              </c:numCache>
            </c:numRef>
          </c:val>
        </c:ser>
        <c:ser>
          <c:idx val="2"/>
          <c:order val="2"/>
          <c:tx>
            <c:strRef>
              <c:f>'Number of Online Courses'!$F$5</c:f>
              <c:strCache>
                <c:ptCount val="1"/>
                <c:pt idx="0">
                  <c:v>Summer</c:v>
                </c:pt>
              </c:strCache>
            </c:strRef>
          </c:tx>
          <c:spPr>
            <a:solidFill>
              <a:srgbClr val="000000"/>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'Number of Online Courses'!$C$6:$C$17</c:f>
              <c:strCache>
                <c:ptCount val="12"/>
                <c:pt idx="0">
                  <c:v>2001-2002</c:v>
                </c:pt>
                <c:pt idx="1">
                  <c:v>2002-2003</c:v>
                </c:pt>
                <c:pt idx="2">
                  <c:v>2003-2004</c:v>
                </c:pt>
                <c:pt idx="3">
                  <c:v>2004-2005</c:v>
                </c:pt>
                <c:pt idx="4">
                  <c:v>2005-2006</c:v>
                </c:pt>
                <c:pt idx="5">
                  <c:v>2006-2007</c:v>
                </c:pt>
                <c:pt idx="6">
                  <c:v>2007-2008</c:v>
                </c:pt>
                <c:pt idx="7">
                  <c:v>2008-2009</c:v>
                </c:pt>
                <c:pt idx="8">
                  <c:v>2009-2010</c:v>
                </c:pt>
                <c:pt idx="9">
                  <c:v>2010-2011</c:v>
                </c:pt>
                <c:pt idx="10">
                  <c:v>2011-2012</c:v>
                </c:pt>
                <c:pt idx="11">
                  <c:v>2012-2013</c:v>
                </c:pt>
              </c:strCache>
            </c:strRef>
          </c:cat>
          <c:val>
            <c:numRef>
              <c:f>'Number of Online Courses'!$F$6:$F$17</c:f>
              <c:numCache>
                <c:formatCode>General</c:formatCode>
                <c:ptCount val="12"/>
                <c:pt idx="0">
                  <c:v>4</c:v>
                </c:pt>
                <c:pt idx="1">
                  <c:v>12</c:v>
                </c:pt>
                <c:pt idx="2">
                  <c:v>16</c:v>
                </c:pt>
                <c:pt idx="3">
                  <c:v>22</c:v>
                </c:pt>
                <c:pt idx="4">
                  <c:v>21</c:v>
                </c:pt>
                <c:pt idx="5">
                  <c:v>27</c:v>
                </c:pt>
                <c:pt idx="6">
                  <c:v>31</c:v>
                </c:pt>
                <c:pt idx="7">
                  <c:v>55</c:v>
                </c:pt>
                <c:pt idx="8">
                  <c:v>67</c:v>
                </c:pt>
                <c:pt idx="9">
                  <c:v>76</c:v>
                </c:pt>
                <c:pt idx="10">
                  <c:v>105</c:v>
                </c:pt>
                <c:pt idx="11">
                  <c:v>102</c:v>
                </c:pt>
              </c:numCache>
            </c:numRef>
          </c:val>
        </c:ser>
        <c:dLbls>
          <c:showLegendKey val="0"/>
          <c:showVal val="0"/>
          <c:showCatName val="0"/>
          <c:showSerName val="0"/>
          <c:showPercent val="0"/>
          <c:showBubbleSize val="0"/>
        </c:dLbls>
        <c:gapWidth val="150"/>
        <c:axId val="469355320"/>
        <c:axId val="469356104"/>
      </c:barChart>
      <c:catAx>
        <c:axId val="469355320"/>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Academic Year</a:t>
                </a:r>
              </a:p>
            </c:rich>
          </c:tx>
          <c:layout>
            <c:manualLayout>
              <c:xMode val="edge"/>
              <c:yMode val="edge"/>
              <c:x val="0.44539284978456395"/>
              <c:y val="0.8020148320386167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69356104"/>
        <c:crosses val="autoZero"/>
        <c:auto val="1"/>
        <c:lblAlgn val="ctr"/>
        <c:lblOffset val="100"/>
        <c:tickLblSkip val="1"/>
        <c:tickMarkSkip val="1"/>
        <c:noMultiLvlLbl val="0"/>
      </c:catAx>
      <c:valAx>
        <c:axId val="469356104"/>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69355320"/>
        <c:crosses val="autoZero"/>
        <c:crossBetween val="between"/>
      </c:valAx>
      <c:spPr>
        <a:solidFill>
          <a:srgbClr val="FFFFFF"/>
        </a:solidFill>
        <a:ln w="12700">
          <a:solidFill>
            <a:srgbClr val="808080"/>
          </a:solidFill>
          <a:prstDash val="solid"/>
        </a:ln>
      </c:spPr>
    </c:plotArea>
    <c:legend>
      <c:legendPos val="b"/>
      <c:layout>
        <c:manualLayout>
          <c:xMode val="edge"/>
          <c:yMode val="edge"/>
          <c:x val="0.40102424910196832"/>
          <c:y val="0.92282020116612962"/>
          <c:w val="0.22866912113801469"/>
          <c:h val="6.7114093959732418E-2"/>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en-US"/>
    </a:p>
  </c:txPr>
  <c:printSettings>
    <c:headerFooter alignWithMargins="0"/>
    <c:pageMargins b="1" l="0.75000000000000377" r="0.75000000000000377" t="1" header="0.5" footer="0.5"/>
    <c:pageSetup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Number of Online Courses Offered by Academic Year</a:t>
            </a:r>
          </a:p>
        </c:rich>
      </c:tx>
      <c:layout>
        <c:manualLayout>
          <c:xMode val="edge"/>
          <c:yMode val="edge"/>
          <c:x val="0.21124361158432892"/>
          <c:y val="3.3639143730886847E-2"/>
        </c:manualLayout>
      </c:layout>
      <c:overlay val="0"/>
      <c:spPr>
        <a:noFill/>
        <a:ln w="25400">
          <a:noFill/>
        </a:ln>
      </c:spPr>
    </c:title>
    <c:autoTitleDeleted val="0"/>
    <c:plotArea>
      <c:layout>
        <c:manualLayout>
          <c:layoutTarget val="inner"/>
          <c:xMode val="edge"/>
          <c:yMode val="edge"/>
          <c:x val="8.3475298126065245E-2"/>
          <c:y val="0.18654489961086826"/>
          <c:w val="0.8926746166950662"/>
          <c:h val="0.62079696100009862"/>
        </c:manualLayout>
      </c:layout>
      <c:barChart>
        <c:barDir val="col"/>
        <c:grouping val="clustered"/>
        <c:varyColors val="0"/>
        <c:ser>
          <c:idx val="0"/>
          <c:order val="0"/>
          <c:tx>
            <c:strRef>
              <c:f>'Number of Online Courses'!$G$5</c:f>
              <c:strCache>
                <c:ptCount val="1"/>
                <c:pt idx="0">
                  <c:v>Totals</c:v>
                </c:pt>
              </c:strCache>
            </c:strRef>
          </c:tx>
          <c:spPr>
            <a:solidFill>
              <a:srgbClr val="C0C0C0"/>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'Number of Online Courses'!$C$6:$C$17</c:f>
              <c:strCache>
                <c:ptCount val="12"/>
                <c:pt idx="0">
                  <c:v>2001-2002</c:v>
                </c:pt>
                <c:pt idx="1">
                  <c:v>2002-2003</c:v>
                </c:pt>
                <c:pt idx="2">
                  <c:v>2003-2004</c:v>
                </c:pt>
                <c:pt idx="3">
                  <c:v>2004-2005</c:v>
                </c:pt>
                <c:pt idx="4">
                  <c:v>2005-2006</c:v>
                </c:pt>
                <c:pt idx="5">
                  <c:v>2006-2007</c:v>
                </c:pt>
                <c:pt idx="6">
                  <c:v>2007-2008</c:v>
                </c:pt>
                <c:pt idx="7">
                  <c:v>2008-2009</c:v>
                </c:pt>
                <c:pt idx="8">
                  <c:v>2009-2010</c:v>
                </c:pt>
                <c:pt idx="9">
                  <c:v>2010-2011</c:v>
                </c:pt>
                <c:pt idx="10">
                  <c:v>2011-2012</c:v>
                </c:pt>
                <c:pt idx="11">
                  <c:v>2012-2013</c:v>
                </c:pt>
              </c:strCache>
            </c:strRef>
          </c:cat>
          <c:val>
            <c:numRef>
              <c:f>'Number of Online Courses'!$G$6:$G$17</c:f>
              <c:numCache>
                <c:formatCode>_(* #,##0_);_(* \(#,##0\);_(* "-"??_);_(@_)</c:formatCode>
                <c:ptCount val="12"/>
                <c:pt idx="0">
                  <c:v>14</c:v>
                </c:pt>
                <c:pt idx="1">
                  <c:v>29</c:v>
                </c:pt>
                <c:pt idx="2">
                  <c:v>37</c:v>
                </c:pt>
                <c:pt idx="3">
                  <c:v>49</c:v>
                </c:pt>
                <c:pt idx="4">
                  <c:v>55</c:v>
                </c:pt>
                <c:pt idx="5">
                  <c:v>66</c:v>
                </c:pt>
                <c:pt idx="6">
                  <c:v>83</c:v>
                </c:pt>
                <c:pt idx="7">
                  <c:v>121</c:v>
                </c:pt>
                <c:pt idx="8">
                  <c:v>152</c:v>
                </c:pt>
                <c:pt idx="9">
                  <c:v>173</c:v>
                </c:pt>
                <c:pt idx="10">
                  <c:v>212</c:v>
                </c:pt>
                <c:pt idx="11">
                  <c:v>201</c:v>
                </c:pt>
              </c:numCache>
            </c:numRef>
          </c:val>
        </c:ser>
        <c:dLbls>
          <c:showLegendKey val="0"/>
          <c:showVal val="0"/>
          <c:showCatName val="0"/>
          <c:showSerName val="0"/>
          <c:showPercent val="0"/>
          <c:showBubbleSize val="0"/>
        </c:dLbls>
        <c:gapWidth val="150"/>
        <c:axId val="469356888"/>
        <c:axId val="469357280"/>
      </c:barChart>
      <c:catAx>
        <c:axId val="469356888"/>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Academic Year</a:t>
                </a:r>
              </a:p>
            </c:rich>
          </c:tx>
          <c:layout>
            <c:manualLayout>
              <c:xMode val="edge"/>
              <c:yMode val="edge"/>
              <c:x val="0.45655877342419082"/>
              <c:y val="0.8899108253670124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69357280"/>
        <c:crosses val="autoZero"/>
        <c:auto val="1"/>
        <c:lblAlgn val="ctr"/>
        <c:lblOffset val="100"/>
        <c:tickLblSkip val="1"/>
        <c:tickMarkSkip val="1"/>
        <c:noMultiLvlLbl val="0"/>
      </c:catAx>
      <c:valAx>
        <c:axId val="469357280"/>
        <c:scaling>
          <c:orientation val="minMax"/>
        </c:scaling>
        <c:delete val="0"/>
        <c:axPos val="l"/>
        <c:majorGridlines>
          <c:spPr>
            <a:ln w="3175">
              <a:solidFill>
                <a:srgbClr val="000000"/>
              </a:solidFill>
              <a:prstDash val="solid"/>
            </a:ln>
          </c:spPr>
        </c:majorGridlines>
        <c:numFmt formatCode="_(* #,##0_);_(* \(#,##0\);_(* &quot;-&quot;??_);_(@_)"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693568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0377" r="0.75000000000000377"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1" i="0" u="none" strike="noStrike" baseline="0">
                <a:solidFill>
                  <a:srgbClr val="000000"/>
                </a:solidFill>
                <a:latin typeface="Arial"/>
                <a:ea typeface="Arial"/>
                <a:cs typeface="Arial"/>
              </a:defRPr>
            </a:pPr>
            <a:r>
              <a:rPr lang="en-US"/>
              <a:t>Average Age History (Fall) - All Students</a:t>
            </a:r>
          </a:p>
        </c:rich>
      </c:tx>
      <c:layout>
        <c:manualLayout>
          <c:xMode val="edge"/>
          <c:yMode val="edge"/>
          <c:x val="0.21428594863142292"/>
          <c:y val="4.2016806722689079E-2"/>
        </c:manualLayout>
      </c:layout>
      <c:overlay val="0"/>
      <c:spPr>
        <a:noFill/>
        <a:ln w="25400">
          <a:noFill/>
        </a:ln>
      </c:spPr>
    </c:title>
    <c:autoTitleDeleted val="0"/>
    <c:plotArea>
      <c:layout>
        <c:manualLayout>
          <c:layoutTarget val="inner"/>
          <c:xMode val="edge"/>
          <c:yMode val="edge"/>
          <c:x val="0.10267868333945503"/>
          <c:y val="0.23949628967037051"/>
          <c:w val="0.86607237251540803"/>
          <c:h val="0.58823650094475666"/>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'Average Age'!$I$4:$K$4</c:f>
              <c:strCache>
                <c:ptCount val="3"/>
                <c:pt idx="0">
                  <c:v>Male</c:v>
                </c:pt>
                <c:pt idx="1">
                  <c:v>Female</c:v>
                </c:pt>
                <c:pt idx="2">
                  <c:v>All Students Average</c:v>
                </c:pt>
              </c:strCache>
            </c:strRef>
          </c:cat>
          <c:val>
            <c:numRef>
              <c:f>'Average Age'!$I$5:$K$5</c:f>
              <c:numCache>
                <c:formatCode>0.0%</c:formatCode>
                <c:ptCount val="3"/>
              </c:numCache>
            </c:numRef>
          </c:val>
        </c:ser>
        <c:ser>
          <c:idx val="1"/>
          <c:order val="1"/>
          <c:spPr>
            <a:pattFill prst="pct25">
              <a:fgClr>
                <a:srgbClr val="FFFFFF"/>
              </a:fgClr>
              <a:bgClr>
                <a:srgbClr val="000000"/>
              </a:bgClr>
            </a:pattFill>
            <a:ln w="12700">
              <a:solidFill>
                <a:srgbClr val="000000"/>
              </a:solidFill>
              <a:prstDash val="solid"/>
            </a:ln>
          </c:spPr>
          <c:invertIfNegative val="0"/>
          <c:dLbls>
            <c:spPr>
              <a:noFill/>
              <a:ln w="25400">
                <a:noFill/>
              </a:ln>
            </c:spPr>
            <c:txPr>
              <a:bodyPr rot="-5400000" vert="horz"/>
              <a:lstStyle/>
              <a:p>
                <a:pPr algn="ctr">
                  <a:defRPr sz="800" b="1"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'Average Age'!$I$4:$K$4</c:f>
              <c:strCache>
                <c:ptCount val="3"/>
                <c:pt idx="0">
                  <c:v>Male</c:v>
                </c:pt>
                <c:pt idx="1">
                  <c:v>Female</c:v>
                </c:pt>
                <c:pt idx="2">
                  <c:v>All Students Average</c:v>
                </c:pt>
              </c:strCache>
            </c:strRef>
          </c:cat>
          <c:val>
            <c:numRef>
              <c:f>'Average Age'!$I$6:$K$6</c:f>
              <c:numCache>
                <c:formatCode>0.0</c:formatCode>
                <c:ptCount val="3"/>
                <c:pt idx="0">
                  <c:v>22.5</c:v>
                </c:pt>
                <c:pt idx="1">
                  <c:v>23</c:v>
                </c:pt>
                <c:pt idx="2">
                  <c:v>22.9</c:v>
                </c:pt>
              </c:numCache>
            </c:numRef>
          </c:val>
        </c:ser>
        <c:ser>
          <c:idx val="2"/>
          <c:order val="2"/>
          <c:spPr>
            <a:solidFill>
              <a:srgbClr val="FFFFCC"/>
            </a:solidFill>
            <a:ln w="12700">
              <a:solidFill>
                <a:srgbClr val="000000"/>
              </a:solidFill>
              <a:prstDash val="solid"/>
            </a:ln>
          </c:spPr>
          <c:invertIfNegative val="0"/>
          <c:cat>
            <c:strRef>
              <c:f>'Average Age'!$I$4:$K$4</c:f>
              <c:strCache>
                <c:ptCount val="3"/>
                <c:pt idx="0">
                  <c:v>Male</c:v>
                </c:pt>
                <c:pt idx="1">
                  <c:v>Female</c:v>
                </c:pt>
                <c:pt idx="2">
                  <c:v>All Students Average</c:v>
                </c:pt>
              </c:strCache>
            </c:strRef>
          </c:cat>
          <c:val>
            <c:numRef>
              <c:f>'Average Age'!$I$7:$K$7</c:f>
              <c:numCache>
                <c:formatCode>0.0%</c:formatCode>
                <c:ptCount val="3"/>
              </c:numCache>
            </c:numRef>
          </c:val>
        </c:ser>
        <c:ser>
          <c:idx val="3"/>
          <c:order val="3"/>
          <c:spPr>
            <a:pattFill prst="wdUpDiag">
              <a:fgClr>
                <a:srgbClr val="FFFFFF"/>
              </a:fgClr>
              <a:bgClr>
                <a:srgbClr val="000000"/>
              </a:bgClr>
            </a:pattFill>
            <a:ln w="12700">
              <a:solidFill>
                <a:srgbClr val="000000"/>
              </a:solidFill>
              <a:prstDash val="solid"/>
            </a:ln>
          </c:spPr>
          <c:invertIfNegative val="0"/>
          <c:dLbls>
            <c:spPr>
              <a:noFill/>
              <a:ln w="25400">
                <a:noFill/>
              </a:ln>
            </c:spPr>
            <c:txPr>
              <a:bodyPr rot="-5400000" vert="horz"/>
              <a:lstStyle/>
              <a:p>
                <a:pPr algn="ctr">
                  <a:defRPr sz="800" b="1"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'Average Age'!$I$4:$K$4</c:f>
              <c:strCache>
                <c:ptCount val="3"/>
                <c:pt idx="0">
                  <c:v>Male</c:v>
                </c:pt>
                <c:pt idx="1">
                  <c:v>Female</c:v>
                </c:pt>
                <c:pt idx="2">
                  <c:v>All Students Average</c:v>
                </c:pt>
              </c:strCache>
            </c:strRef>
          </c:cat>
          <c:val>
            <c:numRef>
              <c:f>'Average Age'!$I$8:$K$8</c:f>
              <c:numCache>
                <c:formatCode>0.0</c:formatCode>
                <c:ptCount val="3"/>
                <c:pt idx="0">
                  <c:v>21.8</c:v>
                </c:pt>
                <c:pt idx="1">
                  <c:v>22</c:v>
                </c:pt>
                <c:pt idx="2">
                  <c:v>21.9</c:v>
                </c:pt>
              </c:numCache>
            </c:numRef>
          </c:val>
        </c:ser>
        <c:ser>
          <c:idx val="4"/>
          <c:order val="4"/>
          <c:spPr>
            <a:solidFill>
              <a:srgbClr val="660066"/>
            </a:solidFill>
            <a:ln w="12700">
              <a:solidFill>
                <a:srgbClr val="000000"/>
              </a:solidFill>
              <a:prstDash val="solid"/>
            </a:ln>
          </c:spPr>
          <c:invertIfNegative val="0"/>
          <c:cat>
            <c:strRef>
              <c:f>'Average Age'!$I$4:$K$4</c:f>
              <c:strCache>
                <c:ptCount val="3"/>
                <c:pt idx="0">
                  <c:v>Male</c:v>
                </c:pt>
                <c:pt idx="1">
                  <c:v>Female</c:v>
                </c:pt>
                <c:pt idx="2">
                  <c:v>All Students Average</c:v>
                </c:pt>
              </c:strCache>
            </c:strRef>
          </c:cat>
          <c:val>
            <c:numRef>
              <c:f>'Average Age'!$I$9:$K$9</c:f>
              <c:numCache>
                <c:formatCode>0.0%</c:formatCode>
                <c:ptCount val="3"/>
              </c:numCache>
            </c:numRef>
          </c:val>
        </c:ser>
        <c:ser>
          <c:idx val="5"/>
          <c:order val="5"/>
          <c:spPr>
            <a:solidFill>
              <a:srgbClr val="C0C0C0"/>
            </a:solidFill>
            <a:ln w="12700">
              <a:solidFill>
                <a:srgbClr val="000000"/>
              </a:solidFill>
              <a:prstDash val="solid"/>
            </a:ln>
          </c:spPr>
          <c:invertIfNegative val="0"/>
          <c:dLbls>
            <c:spPr>
              <a:noFill/>
              <a:ln w="25400">
                <a:noFill/>
              </a:ln>
            </c:spPr>
            <c:txPr>
              <a:bodyPr rot="-5400000" vert="horz"/>
              <a:lstStyle/>
              <a:p>
                <a:pPr algn="ctr">
                  <a:defRPr sz="800" b="1"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'Average Age'!$I$4:$K$4</c:f>
              <c:strCache>
                <c:ptCount val="3"/>
                <c:pt idx="0">
                  <c:v>Male</c:v>
                </c:pt>
                <c:pt idx="1">
                  <c:v>Female</c:v>
                </c:pt>
                <c:pt idx="2">
                  <c:v>All Students Average</c:v>
                </c:pt>
              </c:strCache>
            </c:strRef>
          </c:cat>
          <c:val>
            <c:numRef>
              <c:f>'Average Age'!$I$10:$K$10</c:f>
              <c:numCache>
                <c:formatCode>0.0</c:formatCode>
                <c:ptCount val="3"/>
                <c:pt idx="0">
                  <c:v>21.7</c:v>
                </c:pt>
                <c:pt idx="1">
                  <c:v>21.7</c:v>
                </c:pt>
                <c:pt idx="2">
                  <c:v>21.7</c:v>
                </c:pt>
              </c:numCache>
            </c:numRef>
          </c:val>
        </c:ser>
        <c:ser>
          <c:idx val="6"/>
          <c:order val="6"/>
          <c:spPr>
            <a:solidFill>
              <a:srgbClr val="0066CC"/>
            </a:solidFill>
            <a:ln w="12700">
              <a:solidFill>
                <a:srgbClr val="000000"/>
              </a:solidFill>
              <a:prstDash val="solid"/>
            </a:ln>
          </c:spPr>
          <c:invertIfNegative val="0"/>
          <c:cat>
            <c:strRef>
              <c:f>'Average Age'!$I$4:$K$4</c:f>
              <c:strCache>
                <c:ptCount val="3"/>
                <c:pt idx="0">
                  <c:v>Male</c:v>
                </c:pt>
                <c:pt idx="1">
                  <c:v>Female</c:v>
                </c:pt>
                <c:pt idx="2">
                  <c:v>All Students Average</c:v>
                </c:pt>
              </c:strCache>
            </c:strRef>
          </c:cat>
          <c:val>
            <c:numRef>
              <c:f>'Average Age'!$I$11:$K$11</c:f>
              <c:numCache>
                <c:formatCode>0.0%</c:formatCode>
                <c:ptCount val="3"/>
              </c:numCache>
            </c:numRef>
          </c:val>
        </c:ser>
        <c:ser>
          <c:idx val="7"/>
          <c:order val="7"/>
          <c:spPr>
            <a:solidFill>
              <a:srgbClr val="FFFFFF"/>
            </a:solidFill>
            <a:ln w="12700">
              <a:solidFill>
                <a:srgbClr val="000000"/>
              </a:solidFill>
              <a:prstDash val="solid"/>
            </a:ln>
          </c:spPr>
          <c:invertIfNegative val="0"/>
          <c:dLbls>
            <c:spPr>
              <a:noFill/>
              <a:ln w="25400">
                <a:noFill/>
              </a:ln>
            </c:spPr>
            <c:txPr>
              <a:bodyPr rot="-5400000" vert="horz"/>
              <a:lstStyle/>
              <a:p>
                <a:pPr algn="ctr">
                  <a:defRPr sz="800" b="1"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'Average Age'!$I$4:$K$4</c:f>
              <c:strCache>
                <c:ptCount val="3"/>
                <c:pt idx="0">
                  <c:v>Male</c:v>
                </c:pt>
                <c:pt idx="1">
                  <c:v>Female</c:v>
                </c:pt>
                <c:pt idx="2">
                  <c:v>All Students Average</c:v>
                </c:pt>
              </c:strCache>
            </c:strRef>
          </c:cat>
          <c:val>
            <c:numRef>
              <c:f>'Average Age'!$I$12:$K$12</c:f>
              <c:numCache>
                <c:formatCode>0.0</c:formatCode>
                <c:ptCount val="3"/>
                <c:pt idx="0">
                  <c:v>21.7</c:v>
                </c:pt>
                <c:pt idx="1">
                  <c:v>21.7</c:v>
                </c:pt>
                <c:pt idx="2">
                  <c:v>21.7</c:v>
                </c:pt>
              </c:numCache>
            </c:numRef>
          </c:val>
        </c:ser>
        <c:ser>
          <c:idx val="8"/>
          <c:order val="8"/>
          <c:spPr>
            <a:solidFill>
              <a:srgbClr val="000080"/>
            </a:solidFill>
            <a:ln w="12700">
              <a:solidFill>
                <a:srgbClr val="000000"/>
              </a:solidFill>
              <a:prstDash val="solid"/>
            </a:ln>
          </c:spPr>
          <c:invertIfNegative val="0"/>
          <c:cat>
            <c:strRef>
              <c:f>'Average Age'!$I$4:$K$4</c:f>
              <c:strCache>
                <c:ptCount val="3"/>
                <c:pt idx="0">
                  <c:v>Male</c:v>
                </c:pt>
                <c:pt idx="1">
                  <c:v>Female</c:v>
                </c:pt>
                <c:pt idx="2">
                  <c:v>All Students Average</c:v>
                </c:pt>
              </c:strCache>
            </c:strRef>
          </c:cat>
          <c:val>
            <c:numRef>
              <c:f>'Average Age'!$I$13:$K$13</c:f>
              <c:numCache>
                <c:formatCode>0.0%</c:formatCode>
                <c:ptCount val="3"/>
              </c:numCache>
            </c:numRef>
          </c:val>
        </c:ser>
        <c:ser>
          <c:idx val="9"/>
          <c:order val="9"/>
          <c:spPr>
            <a:pattFill prst="wdDnDiag">
              <a:fgClr>
                <a:srgbClr val="FFFFFF"/>
              </a:fgClr>
              <a:bgClr>
                <a:srgbClr val="000000"/>
              </a:bgClr>
            </a:pattFill>
            <a:ln w="12700">
              <a:solidFill>
                <a:srgbClr val="000000"/>
              </a:solidFill>
              <a:prstDash val="solid"/>
            </a:ln>
          </c:spPr>
          <c:invertIfNegative val="0"/>
          <c:dLbls>
            <c:spPr>
              <a:noFill/>
              <a:ln w="25400">
                <a:noFill/>
              </a:ln>
            </c:spPr>
            <c:txPr>
              <a:bodyPr rot="-5400000" vert="horz"/>
              <a:lstStyle/>
              <a:p>
                <a:pPr algn="ctr">
                  <a:defRPr sz="800" b="1"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'Average Age'!$I$4:$K$4</c:f>
              <c:strCache>
                <c:ptCount val="3"/>
                <c:pt idx="0">
                  <c:v>Male</c:v>
                </c:pt>
                <c:pt idx="1">
                  <c:v>Female</c:v>
                </c:pt>
                <c:pt idx="2">
                  <c:v>All Students Average</c:v>
                </c:pt>
              </c:strCache>
            </c:strRef>
          </c:cat>
          <c:val>
            <c:numRef>
              <c:f>'Average Age'!$I$14:$K$14</c:f>
              <c:numCache>
                <c:formatCode>0.0</c:formatCode>
                <c:ptCount val="3"/>
                <c:pt idx="0">
                  <c:v>22</c:v>
                </c:pt>
                <c:pt idx="1">
                  <c:v>21.9</c:v>
                </c:pt>
                <c:pt idx="2">
                  <c:v>22</c:v>
                </c:pt>
              </c:numCache>
            </c:numRef>
          </c:val>
        </c:ser>
        <c:dLbls>
          <c:showLegendKey val="0"/>
          <c:showVal val="0"/>
          <c:showCatName val="0"/>
          <c:showSerName val="0"/>
          <c:showPercent val="0"/>
          <c:showBubbleSize val="0"/>
        </c:dLbls>
        <c:gapWidth val="0"/>
        <c:overlap val="40"/>
        <c:axId val="469358064"/>
        <c:axId val="469358456"/>
      </c:barChart>
      <c:catAx>
        <c:axId val="4693580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69358456"/>
        <c:crosses val="autoZero"/>
        <c:auto val="1"/>
        <c:lblAlgn val="ctr"/>
        <c:lblOffset val="100"/>
        <c:tickLblSkip val="1"/>
        <c:tickMarkSkip val="1"/>
        <c:noMultiLvlLbl val="0"/>
      </c:catAx>
      <c:valAx>
        <c:axId val="469358456"/>
        <c:scaling>
          <c:orientation val="minMax"/>
        </c:scaling>
        <c:delete val="0"/>
        <c:axPos val="l"/>
        <c:majorGridlines>
          <c:spPr>
            <a:ln w="3175">
              <a:solidFill>
                <a:srgbClr val="000000"/>
              </a:solidFill>
              <a:prstDash val="solid"/>
            </a:ln>
          </c:spPr>
        </c:majorGridlines>
        <c:numFmt formatCode="0.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693580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377" r="0.75000000000000377" t="1" header="0.5" footer="0.5"/>
    <c:pageSetup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Average Age History (Spring) - All Students</a:t>
            </a:r>
          </a:p>
        </c:rich>
      </c:tx>
      <c:layout>
        <c:manualLayout>
          <c:xMode val="edge"/>
          <c:yMode val="edge"/>
          <c:x val="0.19419666291713536"/>
          <c:y val="4.2016806722689079E-2"/>
        </c:manualLayout>
      </c:layout>
      <c:overlay val="0"/>
      <c:spPr>
        <a:noFill/>
        <a:ln w="25400">
          <a:noFill/>
        </a:ln>
      </c:spPr>
    </c:title>
    <c:autoTitleDeleted val="0"/>
    <c:plotArea>
      <c:layout>
        <c:manualLayout>
          <c:layoutTarget val="inner"/>
          <c:xMode val="edge"/>
          <c:yMode val="edge"/>
          <c:x val="0.10267868333945503"/>
          <c:y val="0.23949628967037051"/>
          <c:w val="0.86607237251540803"/>
          <c:h val="0.58823650094475666"/>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'Average Age'!$I$20:$K$20</c:f>
              <c:strCache>
                <c:ptCount val="3"/>
                <c:pt idx="0">
                  <c:v>Male</c:v>
                </c:pt>
                <c:pt idx="1">
                  <c:v>Female</c:v>
                </c:pt>
                <c:pt idx="2">
                  <c:v>All Students Average</c:v>
                </c:pt>
              </c:strCache>
            </c:strRef>
          </c:cat>
          <c:val>
            <c:numRef>
              <c:f>'Average Age'!$I$21:$K$21</c:f>
              <c:numCache>
                <c:formatCode>0.0%</c:formatCode>
                <c:ptCount val="3"/>
              </c:numCache>
            </c:numRef>
          </c:val>
        </c:ser>
        <c:ser>
          <c:idx val="1"/>
          <c:order val="1"/>
          <c:spPr>
            <a:pattFill prst="pct25">
              <a:fgClr>
                <a:srgbClr val="FFFFFF"/>
              </a:fgClr>
              <a:bgClr>
                <a:srgbClr val="000000"/>
              </a:bgClr>
            </a:pattFill>
            <a:ln w="12700">
              <a:solidFill>
                <a:srgbClr val="000000"/>
              </a:solidFill>
              <a:prstDash val="solid"/>
            </a:ln>
          </c:spPr>
          <c:invertIfNegative val="0"/>
          <c:dLbls>
            <c:spPr>
              <a:noFill/>
              <a:ln w="25400">
                <a:noFill/>
              </a:ln>
            </c:spPr>
            <c:txPr>
              <a:bodyPr rot="-5400000" vert="horz"/>
              <a:lstStyle/>
              <a:p>
                <a:pPr algn="ctr">
                  <a:defRPr sz="800" b="1"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'Average Age'!$I$20:$K$20</c:f>
              <c:strCache>
                <c:ptCount val="3"/>
                <c:pt idx="0">
                  <c:v>Male</c:v>
                </c:pt>
                <c:pt idx="1">
                  <c:v>Female</c:v>
                </c:pt>
                <c:pt idx="2">
                  <c:v>All Students Average</c:v>
                </c:pt>
              </c:strCache>
            </c:strRef>
          </c:cat>
          <c:val>
            <c:numRef>
              <c:f>'Average Age'!$I$22:$K$22</c:f>
              <c:numCache>
                <c:formatCode>0.0</c:formatCode>
                <c:ptCount val="3"/>
                <c:pt idx="0">
                  <c:v>22.7</c:v>
                </c:pt>
                <c:pt idx="1">
                  <c:v>23.2</c:v>
                </c:pt>
                <c:pt idx="2">
                  <c:v>23.1</c:v>
                </c:pt>
              </c:numCache>
            </c:numRef>
          </c:val>
        </c:ser>
        <c:ser>
          <c:idx val="2"/>
          <c:order val="2"/>
          <c:spPr>
            <a:solidFill>
              <a:srgbClr val="FFFFCC"/>
            </a:solidFill>
            <a:ln w="12700">
              <a:solidFill>
                <a:srgbClr val="000000"/>
              </a:solidFill>
              <a:prstDash val="solid"/>
            </a:ln>
          </c:spPr>
          <c:invertIfNegative val="0"/>
          <c:cat>
            <c:strRef>
              <c:f>'Average Age'!$I$20:$K$20</c:f>
              <c:strCache>
                <c:ptCount val="3"/>
                <c:pt idx="0">
                  <c:v>Male</c:v>
                </c:pt>
                <c:pt idx="1">
                  <c:v>Female</c:v>
                </c:pt>
                <c:pt idx="2">
                  <c:v>All Students Average</c:v>
                </c:pt>
              </c:strCache>
            </c:strRef>
          </c:cat>
          <c:val>
            <c:numRef>
              <c:f>'Average Age'!$I$23:$K$23</c:f>
              <c:numCache>
                <c:formatCode>0.0%</c:formatCode>
                <c:ptCount val="3"/>
              </c:numCache>
            </c:numRef>
          </c:val>
        </c:ser>
        <c:ser>
          <c:idx val="3"/>
          <c:order val="3"/>
          <c:spPr>
            <a:pattFill prst="wdUpDiag">
              <a:fgClr>
                <a:srgbClr val="FFFFFF"/>
              </a:fgClr>
              <a:bgClr>
                <a:srgbClr val="000000"/>
              </a:bgClr>
            </a:pattFill>
            <a:ln w="12700">
              <a:solidFill>
                <a:srgbClr val="000000"/>
              </a:solidFill>
              <a:prstDash val="solid"/>
            </a:ln>
          </c:spPr>
          <c:invertIfNegative val="0"/>
          <c:dLbls>
            <c:spPr>
              <a:noFill/>
              <a:ln w="25400">
                <a:noFill/>
              </a:ln>
            </c:spPr>
            <c:txPr>
              <a:bodyPr rot="-5400000" vert="horz"/>
              <a:lstStyle/>
              <a:p>
                <a:pPr algn="ctr">
                  <a:defRPr sz="800" b="1"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'Average Age'!$I$20:$K$20</c:f>
              <c:strCache>
                <c:ptCount val="3"/>
                <c:pt idx="0">
                  <c:v>Male</c:v>
                </c:pt>
                <c:pt idx="1">
                  <c:v>Female</c:v>
                </c:pt>
                <c:pt idx="2">
                  <c:v>All Students Average</c:v>
                </c:pt>
              </c:strCache>
            </c:strRef>
          </c:cat>
          <c:val>
            <c:numRef>
              <c:f>'Average Age'!$I$24:$K$24</c:f>
              <c:numCache>
                <c:formatCode>0.0</c:formatCode>
                <c:ptCount val="3"/>
                <c:pt idx="0">
                  <c:v>22.2</c:v>
                </c:pt>
                <c:pt idx="1">
                  <c:v>22.6</c:v>
                </c:pt>
                <c:pt idx="2">
                  <c:v>22.4</c:v>
                </c:pt>
              </c:numCache>
            </c:numRef>
          </c:val>
        </c:ser>
        <c:ser>
          <c:idx val="4"/>
          <c:order val="4"/>
          <c:spPr>
            <a:solidFill>
              <a:srgbClr val="660066"/>
            </a:solidFill>
            <a:ln w="12700">
              <a:solidFill>
                <a:srgbClr val="000000"/>
              </a:solidFill>
              <a:prstDash val="solid"/>
            </a:ln>
          </c:spPr>
          <c:invertIfNegative val="0"/>
          <c:cat>
            <c:strRef>
              <c:f>'Average Age'!$I$20:$K$20</c:f>
              <c:strCache>
                <c:ptCount val="3"/>
                <c:pt idx="0">
                  <c:v>Male</c:v>
                </c:pt>
                <c:pt idx="1">
                  <c:v>Female</c:v>
                </c:pt>
                <c:pt idx="2">
                  <c:v>All Students Average</c:v>
                </c:pt>
              </c:strCache>
            </c:strRef>
          </c:cat>
          <c:val>
            <c:numRef>
              <c:f>'Average Age'!$I$25:$K$25</c:f>
              <c:numCache>
                <c:formatCode>0.0%</c:formatCode>
                <c:ptCount val="3"/>
              </c:numCache>
            </c:numRef>
          </c:val>
        </c:ser>
        <c:ser>
          <c:idx val="5"/>
          <c:order val="5"/>
          <c:spPr>
            <a:solidFill>
              <a:srgbClr val="C0C0C0"/>
            </a:solidFill>
            <a:ln w="12700">
              <a:solidFill>
                <a:srgbClr val="000000"/>
              </a:solidFill>
              <a:prstDash val="solid"/>
            </a:ln>
          </c:spPr>
          <c:invertIfNegative val="0"/>
          <c:dLbls>
            <c:spPr>
              <a:noFill/>
              <a:ln w="25400">
                <a:noFill/>
              </a:ln>
            </c:spPr>
            <c:txPr>
              <a:bodyPr rot="-5400000" vert="horz"/>
              <a:lstStyle/>
              <a:p>
                <a:pPr algn="ctr">
                  <a:defRPr sz="800" b="1"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'Average Age'!$I$20:$K$20</c:f>
              <c:strCache>
                <c:ptCount val="3"/>
                <c:pt idx="0">
                  <c:v>Male</c:v>
                </c:pt>
                <c:pt idx="1">
                  <c:v>Female</c:v>
                </c:pt>
                <c:pt idx="2">
                  <c:v>All Students Average</c:v>
                </c:pt>
              </c:strCache>
            </c:strRef>
          </c:cat>
          <c:val>
            <c:numRef>
              <c:f>'Average Age'!$I$26:$K$26</c:f>
              <c:numCache>
                <c:formatCode>0.0</c:formatCode>
                <c:ptCount val="3"/>
                <c:pt idx="0">
                  <c:v>22</c:v>
                </c:pt>
                <c:pt idx="1">
                  <c:v>22.2</c:v>
                </c:pt>
                <c:pt idx="2">
                  <c:v>22.1</c:v>
                </c:pt>
              </c:numCache>
            </c:numRef>
          </c:val>
        </c:ser>
        <c:ser>
          <c:idx val="6"/>
          <c:order val="6"/>
          <c:spPr>
            <a:solidFill>
              <a:srgbClr val="0066CC"/>
            </a:solidFill>
            <a:ln w="12700">
              <a:solidFill>
                <a:srgbClr val="000000"/>
              </a:solidFill>
              <a:prstDash val="solid"/>
            </a:ln>
          </c:spPr>
          <c:invertIfNegative val="0"/>
          <c:cat>
            <c:strRef>
              <c:f>'Average Age'!$I$20:$K$20</c:f>
              <c:strCache>
                <c:ptCount val="3"/>
                <c:pt idx="0">
                  <c:v>Male</c:v>
                </c:pt>
                <c:pt idx="1">
                  <c:v>Female</c:v>
                </c:pt>
                <c:pt idx="2">
                  <c:v>All Students Average</c:v>
                </c:pt>
              </c:strCache>
            </c:strRef>
          </c:cat>
          <c:val>
            <c:numRef>
              <c:f>'Average Age'!$I$27:$K$27</c:f>
              <c:numCache>
                <c:formatCode>0.0%</c:formatCode>
                <c:ptCount val="3"/>
              </c:numCache>
            </c:numRef>
          </c:val>
        </c:ser>
        <c:ser>
          <c:idx val="7"/>
          <c:order val="7"/>
          <c:spPr>
            <a:solidFill>
              <a:srgbClr val="FFFFFF"/>
            </a:solidFill>
            <a:ln w="12700">
              <a:solidFill>
                <a:srgbClr val="000000"/>
              </a:solidFill>
              <a:prstDash val="solid"/>
            </a:ln>
          </c:spPr>
          <c:invertIfNegative val="0"/>
          <c:dLbls>
            <c:spPr>
              <a:noFill/>
              <a:ln w="25400">
                <a:noFill/>
              </a:ln>
            </c:spPr>
            <c:txPr>
              <a:bodyPr rot="-5400000" vert="horz"/>
              <a:lstStyle/>
              <a:p>
                <a:pPr algn="ctr">
                  <a:defRPr sz="800" b="1"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'Average Age'!$I$20:$K$20</c:f>
              <c:strCache>
                <c:ptCount val="3"/>
                <c:pt idx="0">
                  <c:v>Male</c:v>
                </c:pt>
                <c:pt idx="1">
                  <c:v>Female</c:v>
                </c:pt>
                <c:pt idx="2">
                  <c:v>All Students Average</c:v>
                </c:pt>
              </c:strCache>
            </c:strRef>
          </c:cat>
          <c:val>
            <c:numRef>
              <c:f>'Average Age'!$I$28:$K$28</c:f>
              <c:numCache>
                <c:formatCode>0.0</c:formatCode>
                <c:ptCount val="3"/>
                <c:pt idx="0">
                  <c:v>22.3</c:v>
                </c:pt>
                <c:pt idx="1">
                  <c:v>22.4</c:v>
                </c:pt>
                <c:pt idx="2">
                  <c:v>22.4</c:v>
                </c:pt>
              </c:numCache>
            </c:numRef>
          </c:val>
        </c:ser>
        <c:ser>
          <c:idx val="8"/>
          <c:order val="8"/>
          <c:spPr>
            <a:solidFill>
              <a:srgbClr val="000080"/>
            </a:solidFill>
            <a:ln w="12700">
              <a:solidFill>
                <a:srgbClr val="000000"/>
              </a:solidFill>
              <a:prstDash val="solid"/>
            </a:ln>
          </c:spPr>
          <c:invertIfNegative val="0"/>
          <c:cat>
            <c:strRef>
              <c:f>'Average Age'!$I$20:$K$20</c:f>
              <c:strCache>
                <c:ptCount val="3"/>
                <c:pt idx="0">
                  <c:v>Male</c:v>
                </c:pt>
                <c:pt idx="1">
                  <c:v>Female</c:v>
                </c:pt>
                <c:pt idx="2">
                  <c:v>All Students Average</c:v>
                </c:pt>
              </c:strCache>
            </c:strRef>
          </c:cat>
          <c:val>
            <c:numRef>
              <c:f>'Average Age'!$I$29:$K$29</c:f>
              <c:numCache>
                <c:formatCode>0.0%</c:formatCode>
                <c:ptCount val="3"/>
              </c:numCache>
            </c:numRef>
          </c:val>
        </c:ser>
        <c:ser>
          <c:idx val="9"/>
          <c:order val="9"/>
          <c:spPr>
            <a:pattFill prst="wdDnDiag">
              <a:fgClr>
                <a:srgbClr val="FFFFFF"/>
              </a:fgClr>
              <a:bgClr>
                <a:srgbClr val="000000"/>
              </a:bgClr>
            </a:pattFill>
            <a:ln w="12700">
              <a:solidFill>
                <a:srgbClr val="000000"/>
              </a:solidFill>
              <a:prstDash val="solid"/>
            </a:ln>
          </c:spPr>
          <c:invertIfNegative val="0"/>
          <c:dLbls>
            <c:spPr>
              <a:noFill/>
              <a:ln w="25400">
                <a:noFill/>
              </a:ln>
            </c:spPr>
            <c:txPr>
              <a:bodyPr rot="-5400000" vert="horz"/>
              <a:lstStyle/>
              <a:p>
                <a:pPr algn="ctr">
                  <a:defRPr sz="800" b="1"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'Average Age'!$I$20:$K$20</c:f>
              <c:strCache>
                <c:ptCount val="3"/>
                <c:pt idx="0">
                  <c:v>Male</c:v>
                </c:pt>
                <c:pt idx="1">
                  <c:v>Female</c:v>
                </c:pt>
                <c:pt idx="2">
                  <c:v>All Students Average</c:v>
                </c:pt>
              </c:strCache>
            </c:strRef>
          </c:cat>
          <c:val>
            <c:numRef>
              <c:f>'Average Age'!$I$30:$K$30</c:f>
              <c:numCache>
                <c:formatCode>0.0</c:formatCode>
                <c:ptCount val="3"/>
                <c:pt idx="0">
                  <c:v>22.4</c:v>
                </c:pt>
                <c:pt idx="1">
                  <c:v>22.4</c:v>
                </c:pt>
                <c:pt idx="2">
                  <c:v>22.4</c:v>
                </c:pt>
              </c:numCache>
            </c:numRef>
          </c:val>
        </c:ser>
        <c:dLbls>
          <c:showLegendKey val="0"/>
          <c:showVal val="0"/>
          <c:showCatName val="0"/>
          <c:showSerName val="0"/>
          <c:showPercent val="0"/>
          <c:showBubbleSize val="0"/>
        </c:dLbls>
        <c:gapWidth val="0"/>
        <c:overlap val="40"/>
        <c:axId val="469359240"/>
        <c:axId val="469359632"/>
      </c:barChart>
      <c:catAx>
        <c:axId val="4693592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69359632"/>
        <c:crosses val="autoZero"/>
        <c:auto val="1"/>
        <c:lblAlgn val="ctr"/>
        <c:lblOffset val="100"/>
        <c:tickLblSkip val="1"/>
        <c:tickMarkSkip val="1"/>
        <c:noMultiLvlLbl val="0"/>
      </c:catAx>
      <c:valAx>
        <c:axId val="469359632"/>
        <c:scaling>
          <c:orientation val="minMax"/>
        </c:scaling>
        <c:delete val="0"/>
        <c:axPos val="l"/>
        <c:majorGridlines>
          <c:spPr>
            <a:ln w="3175">
              <a:solidFill>
                <a:srgbClr val="000000"/>
              </a:solidFill>
              <a:prstDash val="solid"/>
            </a:ln>
          </c:spPr>
        </c:majorGridlines>
        <c:numFmt formatCode="0.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69359240"/>
        <c:crosses val="autoZero"/>
        <c:crossBetween val="between"/>
        <c:minorUnit val="1"/>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377" r="0.75000000000000377" t="1" header="0.5" footer="0.5"/>
    <c:pageSetup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en-US"/>
              <a:t>Fall 2012 Enrollment by Age </a:t>
            </a:r>
          </a:p>
        </c:rich>
      </c:tx>
      <c:layout>
        <c:manualLayout>
          <c:xMode val="edge"/>
          <c:yMode val="edge"/>
          <c:x val="0.33814432989690935"/>
          <c:y val="1.7123287671232879E-2"/>
        </c:manualLayout>
      </c:layout>
      <c:overlay val="0"/>
      <c:spPr>
        <a:noFill/>
        <a:ln w="25400">
          <a:noFill/>
        </a:ln>
      </c:spPr>
    </c:title>
    <c:autoTitleDeleted val="0"/>
    <c:plotArea>
      <c:layout>
        <c:manualLayout>
          <c:layoutTarget val="inner"/>
          <c:xMode val="edge"/>
          <c:yMode val="edge"/>
          <c:x val="0.11546391752577315"/>
          <c:y val="0.11301388761151475"/>
          <c:w val="0.85567010309278768"/>
          <c:h val="0.66096000936431365"/>
        </c:manualLayout>
      </c:layout>
      <c:barChart>
        <c:barDir val="col"/>
        <c:grouping val="clustered"/>
        <c:varyColors val="0"/>
        <c:ser>
          <c:idx val="0"/>
          <c:order val="0"/>
          <c:tx>
            <c:strRef>
              <c:f>'Fall 2012 by Age and Gend'!$A$4:$A$14</c:f>
              <c:strCache>
                <c:ptCount val="11"/>
                <c:pt idx="0">
                  <c:v>Age Group</c:v>
                </c:pt>
                <c:pt idx="1">
                  <c:v> Under 18 </c:v>
                </c:pt>
                <c:pt idx="2">
                  <c:v> 18-19 </c:v>
                </c:pt>
                <c:pt idx="3">
                  <c:v> 20-21 </c:v>
                </c:pt>
                <c:pt idx="4">
                  <c:v> 22-24 </c:v>
                </c:pt>
                <c:pt idx="5">
                  <c:v> 25-29 </c:v>
                </c:pt>
                <c:pt idx="6">
                  <c:v> 30-34 </c:v>
                </c:pt>
                <c:pt idx="7">
                  <c:v> 35-39 </c:v>
                </c:pt>
                <c:pt idx="8">
                  <c:v> 40-49 </c:v>
                </c:pt>
                <c:pt idx="9">
                  <c:v> 50-64 </c:v>
                </c:pt>
                <c:pt idx="10">
                  <c:v> 65 and over </c:v>
                </c:pt>
              </c:strCache>
            </c:strRef>
          </c:tx>
          <c:spPr>
            <a:solidFill>
              <a:srgbClr val="C0C0C0"/>
            </a:solidFill>
            <a:ln w="12700">
              <a:solidFill>
                <a:srgbClr val="000000"/>
              </a:solidFill>
              <a:prstDash val="solid"/>
            </a:ln>
          </c:spPr>
          <c:invertIfNegative val="0"/>
          <c:dLbls>
            <c:spPr>
              <a:noFill/>
              <a:ln w="25400">
                <a:noFill/>
              </a:ln>
            </c:spPr>
            <c:txPr>
              <a:bodyPr/>
              <a:lstStyle/>
              <a:p>
                <a:pPr>
                  <a:defRPr sz="800" b="1"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'Fall 2012 by Age and Gend'!$A$5:$A$14</c:f>
              <c:strCache>
                <c:ptCount val="10"/>
                <c:pt idx="0">
                  <c:v> Under 18 </c:v>
                </c:pt>
                <c:pt idx="1">
                  <c:v> 18-19 </c:v>
                </c:pt>
                <c:pt idx="2">
                  <c:v> 20-21 </c:v>
                </c:pt>
                <c:pt idx="3">
                  <c:v> 22-24 </c:v>
                </c:pt>
                <c:pt idx="4">
                  <c:v> 25-29 </c:v>
                </c:pt>
                <c:pt idx="5">
                  <c:v> 30-34 </c:v>
                </c:pt>
                <c:pt idx="6">
                  <c:v> 35-39 </c:v>
                </c:pt>
                <c:pt idx="7">
                  <c:v> 40-49 </c:v>
                </c:pt>
                <c:pt idx="8">
                  <c:v> 50-64 </c:v>
                </c:pt>
                <c:pt idx="9">
                  <c:v> 65 and over </c:v>
                </c:pt>
              </c:strCache>
            </c:strRef>
          </c:cat>
          <c:val>
            <c:numRef>
              <c:f>'Fall 2012 by Age and Gend'!$E$5:$E$14</c:f>
              <c:numCache>
                <c:formatCode>0%</c:formatCode>
                <c:ptCount val="10"/>
                <c:pt idx="0">
                  <c:v>5.9035749426041327E-3</c:v>
                </c:pt>
                <c:pt idx="1">
                  <c:v>0.26795670711708758</c:v>
                </c:pt>
                <c:pt idx="2">
                  <c:v>0.36766152836995736</c:v>
                </c:pt>
                <c:pt idx="3">
                  <c:v>0.24762217120367333</c:v>
                </c:pt>
                <c:pt idx="4">
                  <c:v>5.9363725811741555E-2</c:v>
                </c:pt>
                <c:pt idx="5">
                  <c:v>1.5742866513611019E-2</c:v>
                </c:pt>
                <c:pt idx="6">
                  <c:v>1.3775008199409643E-2</c:v>
                </c:pt>
                <c:pt idx="7">
                  <c:v>1.1151197113807805E-2</c:v>
                </c:pt>
                <c:pt idx="8">
                  <c:v>9.5113151853066583E-3</c:v>
                </c:pt>
                <c:pt idx="9">
                  <c:v>1.3119055428009183E-3</c:v>
                </c:pt>
              </c:numCache>
            </c:numRef>
          </c:val>
        </c:ser>
        <c:dLbls>
          <c:showLegendKey val="0"/>
          <c:showVal val="0"/>
          <c:showCatName val="0"/>
          <c:showSerName val="0"/>
          <c:showPercent val="0"/>
          <c:showBubbleSize val="0"/>
        </c:dLbls>
        <c:gapWidth val="150"/>
        <c:axId val="476051296"/>
        <c:axId val="476051688"/>
      </c:barChart>
      <c:catAx>
        <c:axId val="476051296"/>
        <c:scaling>
          <c:orientation val="minMax"/>
        </c:scaling>
        <c:delete val="0"/>
        <c:axPos val="b"/>
        <c:title>
          <c:tx>
            <c:rich>
              <a:bodyPr/>
              <a:lstStyle/>
              <a:p>
                <a:pPr>
                  <a:defRPr sz="825" b="1" i="0" u="none" strike="noStrike" baseline="0">
                    <a:solidFill>
                      <a:srgbClr val="000000"/>
                    </a:solidFill>
                    <a:latin typeface="Arial"/>
                    <a:ea typeface="Arial"/>
                    <a:cs typeface="Arial"/>
                  </a:defRPr>
                </a:pPr>
                <a:r>
                  <a:rPr lang="en-US"/>
                  <a:t>Age Groups</a:t>
                </a:r>
              </a:p>
            </c:rich>
          </c:tx>
          <c:layout>
            <c:manualLayout>
              <c:xMode val="edge"/>
              <c:yMode val="edge"/>
              <c:x val="0.45567010309278388"/>
              <c:y val="0.9109603422859813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n-US"/>
          </a:p>
        </c:txPr>
        <c:crossAx val="476051688"/>
        <c:crosses val="autoZero"/>
        <c:auto val="1"/>
        <c:lblAlgn val="ctr"/>
        <c:lblOffset val="100"/>
        <c:tickLblSkip val="1"/>
        <c:tickMarkSkip val="1"/>
        <c:noMultiLvlLbl val="0"/>
      </c:catAx>
      <c:valAx>
        <c:axId val="476051688"/>
        <c:scaling>
          <c:orientation val="minMax"/>
        </c:scaling>
        <c:delete val="0"/>
        <c:axPos val="l"/>
        <c:majorGridlines>
          <c:spPr>
            <a:ln w="3175">
              <a:solidFill>
                <a:srgbClr val="000000"/>
              </a:solidFill>
              <a:prstDash val="solid"/>
            </a:ln>
          </c:spPr>
        </c:majorGridlines>
        <c:title>
          <c:tx>
            <c:rich>
              <a:bodyPr/>
              <a:lstStyle/>
              <a:p>
                <a:pPr>
                  <a:defRPr sz="825" b="1" i="0" u="none" strike="noStrike" baseline="0">
                    <a:solidFill>
                      <a:srgbClr val="000000"/>
                    </a:solidFill>
                    <a:latin typeface="Arial"/>
                    <a:ea typeface="Arial"/>
                    <a:cs typeface="Arial"/>
                  </a:defRPr>
                </a:pPr>
                <a:r>
                  <a:rPr lang="en-US"/>
                  <a:t>Percentages</a:t>
                </a:r>
              </a:p>
            </c:rich>
          </c:tx>
          <c:layout>
            <c:manualLayout>
              <c:xMode val="edge"/>
              <c:yMode val="edge"/>
              <c:x val="1.0309278350515465E-2"/>
              <c:y val="0.31506885269478541"/>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n-US"/>
          </a:p>
        </c:txPr>
        <c:crossAx val="476051296"/>
        <c:crosses val="autoZero"/>
        <c:crossBetween val="between"/>
      </c:valAx>
      <c:spPr>
        <a:solidFill>
          <a:srgbClr val="FFFFFF"/>
        </a:solidFill>
        <a:ln w="12700">
          <a:solidFill>
            <a:srgbClr val="000000"/>
          </a:solidFill>
          <a:prstDash val="solid"/>
        </a:ln>
      </c:spPr>
    </c:plotArea>
    <c:plotVisOnly val="1"/>
    <c:dispBlanksAs val="gap"/>
    <c:showDLblsOverMax val="0"/>
  </c:chart>
  <c:spPr>
    <a:solidFill>
      <a:srgbClr val="FFFFFF"/>
    </a:solidFill>
    <a:ln w="12700">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0377" r="0.75000000000000377" t="1" header="0.5" footer="0.5"/>
    <c:pageSetup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African-American Student Enrollment</a:t>
            </a:r>
          </a:p>
        </c:rich>
      </c:tx>
      <c:layout>
        <c:manualLayout>
          <c:xMode val="edge"/>
          <c:yMode val="edge"/>
          <c:x val="0.30952430946131732"/>
          <c:y val="3.5294117647058851E-2"/>
        </c:manualLayout>
      </c:layout>
      <c:overlay val="0"/>
      <c:spPr>
        <a:noFill/>
        <a:ln w="25400">
          <a:noFill/>
        </a:ln>
      </c:spPr>
    </c:title>
    <c:autoTitleDeleted val="0"/>
    <c:plotArea>
      <c:layout>
        <c:manualLayout>
          <c:layoutTarget val="inner"/>
          <c:xMode val="edge"/>
          <c:yMode val="edge"/>
          <c:x val="7.301598619789533E-2"/>
          <c:y val="0.22058855208604103"/>
          <c:w val="0.80635045627240864"/>
          <c:h val="0.58823613889610393"/>
        </c:manualLayout>
      </c:layout>
      <c:barChart>
        <c:barDir val="col"/>
        <c:grouping val="clustered"/>
        <c:varyColors val="0"/>
        <c:ser>
          <c:idx val="0"/>
          <c:order val="0"/>
          <c:tx>
            <c:strRef>
              <c:f>'Black Enrollment History'!$M$7</c:f>
              <c:strCache>
                <c:ptCount val="1"/>
                <c:pt idx="0">
                  <c:v>2008</c:v>
                </c:pt>
              </c:strCache>
            </c:strRef>
          </c:tx>
          <c:spPr>
            <a:solidFill>
              <a:srgbClr val="333333"/>
            </a:solidFill>
            <a:ln w="12700">
              <a:solidFill>
                <a:srgbClr val="000000"/>
              </a:solidFill>
              <a:prstDash val="solid"/>
            </a:ln>
          </c:spPr>
          <c:invertIfNegative val="0"/>
          <c:dLbls>
            <c:spPr>
              <a:noFill/>
              <a:ln w="25400">
                <a:noFill/>
              </a:ln>
            </c:spPr>
            <c:txPr>
              <a:bodyPr rot="-5400000" vert="horz"/>
              <a:lstStyle/>
              <a:p>
                <a:pPr algn="ct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'Black Enrollment History'!$N$5:$P$6</c:f>
              <c:strCache>
                <c:ptCount val="3"/>
                <c:pt idx="0">
                  <c:v>Black Male</c:v>
                </c:pt>
                <c:pt idx="1">
                  <c:v>Black Female</c:v>
                </c:pt>
                <c:pt idx="2">
                  <c:v>Total Black</c:v>
                </c:pt>
              </c:strCache>
            </c:strRef>
          </c:cat>
          <c:val>
            <c:numRef>
              <c:f>'Black Enrollment History'!$N$7:$P$7</c:f>
              <c:numCache>
                <c:formatCode>General</c:formatCode>
                <c:ptCount val="3"/>
                <c:pt idx="0">
                  <c:v>187</c:v>
                </c:pt>
                <c:pt idx="1">
                  <c:v>491</c:v>
                </c:pt>
                <c:pt idx="2">
                  <c:v>678</c:v>
                </c:pt>
              </c:numCache>
            </c:numRef>
          </c:val>
        </c:ser>
        <c:ser>
          <c:idx val="2"/>
          <c:order val="1"/>
          <c:tx>
            <c:strRef>
              <c:f>'Black Enrollment History'!$M$9</c:f>
              <c:strCache>
                <c:ptCount val="1"/>
                <c:pt idx="0">
                  <c:v>2009</c:v>
                </c:pt>
              </c:strCache>
            </c:strRef>
          </c:tx>
          <c:spPr>
            <a:pattFill prst="wdUpDiag">
              <a:fgClr>
                <a:srgbClr val="000000"/>
              </a:fgClr>
              <a:bgClr>
                <a:srgbClr val="FFFFFF"/>
              </a:bgClr>
            </a:pattFill>
            <a:ln w="12700">
              <a:solidFill>
                <a:srgbClr val="000000"/>
              </a:solidFill>
              <a:prstDash val="solid"/>
            </a:ln>
          </c:spPr>
          <c:invertIfNegative val="0"/>
          <c:dLbls>
            <c:spPr>
              <a:noFill/>
              <a:ln w="25400">
                <a:noFill/>
              </a:ln>
            </c:spPr>
            <c:txPr>
              <a:bodyPr rot="-5400000" vert="horz"/>
              <a:lstStyle/>
              <a:p>
                <a:pPr algn="ct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'Black Enrollment History'!$N$5:$P$6</c:f>
              <c:strCache>
                <c:ptCount val="3"/>
                <c:pt idx="0">
                  <c:v>Black Male</c:v>
                </c:pt>
                <c:pt idx="1">
                  <c:v>Black Female</c:v>
                </c:pt>
                <c:pt idx="2">
                  <c:v>Total Black</c:v>
                </c:pt>
              </c:strCache>
            </c:strRef>
          </c:cat>
          <c:val>
            <c:numRef>
              <c:f>'Black Enrollment History'!$N$9:$P$9</c:f>
              <c:numCache>
                <c:formatCode>General</c:formatCode>
                <c:ptCount val="3"/>
                <c:pt idx="0">
                  <c:v>230</c:v>
                </c:pt>
                <c:pt idx="1">
                  <c:v>643</c:v>
                </c:pt>
                <c:pt idx="2">
                  <c:v>873</c:v>
                </c:pt>
              </c:numCache>
            </c:numRef>
          </c:val>
        </c:ser>
        <c:ser>
          <c:idx val="4"/>
          <c:order val="2"/>
          <c:tx>
            <c:strRef>
              <c:f>'Black Enrollment History'!$M$11</c:f>
              <c:strCache>
                <c:ptCount val="1"/>
                <c:pt idx="0">
                  <c:v>2010</c:v>
                </c:pt>
              </c:strCache>
            </c:strRef>
          </c:tx>
          <c:spPr>
            <a:solidFill>
              <a:srgbClr val="C0C0C0"/>
            </a:solidFill>
            <a:ln w="12700">
              <a:solidFill>
                <a:srgbClr val="000000"/>
              </a:solidFill>
              <a:prstDash val="solid"/>
            </a:ln>
          </c:spPr>
          <c:invertIfNegative val="0"/>
          <c:dLbls>
            <c:spPr>
              <a:noFill/>
              <a:ln w="25400">
                <a:noFill/>
              </a:ln>
            </c:spPr>
            <c:txPr>
              <a:bodyPr rot="-5400000" vert="horz"/>
              <a:lstStyle/>
              <a:p>
                <a:pPr algn="ct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'Black Enrollment History'!$N$5:$P$6</c:f>
              <c:strCache>
                <c:ptCount val="3"/>
                <c:pt idx="0">
                  <c:v>Black Male</c:v>
                </c:pt>
                <c:pt idx="1">
                  <c:v>Black Female</c:v>
                </c:pt>
                <c:pt idx="2">
                  <c:v>Total Black</c:v>
                </c:pt>
              </c:strCache>
            </c:strRef>
          </c:cat>
          <c:val>
            <c:numRef>
              <c:f>'Black Enrollment History'!$N$11:$P$11</c:f>
              <c:numCache>
                <c:formatCode>General</c:formatCode>
                <c:ptCount val="3"/>
                <c:pt idx="0">
                  <c:v>246</c:v>
                </c:pt>
                <c:pt idx="1">
                  <c:v>696</c:v>
                </c:pt>
                <c:pt idx="2">
                  <c:v>942</c:v>
                </c:pt>
              </c:numCache>
            </c:numRef>
          </c:val>
        </c:ser>
        <c:ser>
          <c:idx val="6"/>
          <c:order val="3"/>
          <c:tx>
            <c:strRef>
              <c:f>'Black Enrollment History'!$M$13</c:f>
              <c:strCache>
                <c:ptCount val="1"/>
                <c:pt idx="0">
                  <c:v>2011</c:v>
                </c:pt>
              </c:strCache>
            </c:strRef>
          </c:tx>
          <c:spPr>
            <a:solidFill>
              <a:srgbClr val="FFFFFF"/>
            </a:solidFill>
            <a:ln w="12700">
              <a:solidFill>
                <a:srgbClr val="000000"/>
              </a:solidFill>
              <a:prstDash val="solid"/>
            </a:ln>
          </c:spPr>
          <c:invertIfNegative val="0"/>
          <c:dLbls>
            <c:spPr>
              <a:noFill/>
              <a:ln w="25400">
                <a:noFill/>
              </a:ln>
            </c:spPr>
            <c:txPr>
              <a:bodyPr rot="-5400000" vert="horz"/>
              <a:lstStyle/>
              <a:p>
                <a:pPr algn="ct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'Black Enrollment History'!$N$5:$P$6</c:f>
              <c:strCache>
                <c:ptCount val="3"/>
                <c:pt idx="0">
                  <c:v>Black Male</c:v>
                </c:pt>
                <c:pt idx="1">
                  <c:v>Black Female</c:v>
                </c:pt>
                <c:pt idx="2">
                  <c:v>Total Black</c:v>
                </c:pt>
              </c:strCache>
            </c:strRef>
          </c:cat>
          <c:val>
            <c:numRef>
              <c:f>'Black Enrollment History'!$N$13:$P$13</c:f>
              <c:numCache>
                <c:formatCode>General</c:formatCode>
                <c:ptCount val="3"/>
                <c:pt idx="0">
                  <c:v>243</c:v>
                </c:pt>
                <c:pt idx="1">
                  <c:v>799</c:v>
                </c:pt>
                <c:pt idx="2">
                  <c:v>1042</c:v>
                </c:pt>
              </c:numCache>
            </c:numRef>
          </c:val>
        </c:ser>
        <c:ser>
          <c:idx val="8"/>
          <c:order val="4"/>
          <c:tx>
            <c:strRef>
              <c:f>'Black Enrollment History'!$M$15</c:f>
              <c:strCache>
                <c:ptCount val="1"/>
                <c:pt idx="0">
                  <c:v>2012</c:v>
                </c:pt>
              </c:strCache>
            </c:strRef>
          </c:tx>
          <c:spPr>
            <a:pattFill prst="wdDnDiag">
              <a:fgClr>
                <a:srgbClr val="FFFFFF"/>
              </a:fgClr>
              <a:bgClr>
                <a:srgbClr val="333333"/>
              </a:bgClr>
            </a:pattFill>
            <a:ln w="12700">
              <a:solidFill>
                <a:srgbClr val="000000"/>
              </a:solidFill>
              <a:prstDash val="solid"/>
            </a:ln>
          </c:spPr>
          <c:invertIfNegative val="0"/>
          <c:dLbls>
            <c:spPr>
              <a:noFill/>
              <a:ln w="25400">
                <a:noFill/>
              </a:ln>
            </c:spPr>
            <c:txPr>
              <a:bodyPr rot="-5400000" vert="horz"/>
              <a:lstStyle/>
              <a:p>
                <a:pPr algn="ct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'Black Enrollment History'!$N$5:$P$6</c:f>
              <c:strCache>
                <c:ptCount val="3"/>
                <c:pt idx="0">
                  <c:v>Black Male</c:v>
                </c:pt>
                <c:pt idx="1">
                  <c:v>Black Female</c:v>
                </c:pt>
                <c:pt idx="2">
                  <c:v>Total Black</c:v>
                </c:pt>
              </c:strCache>
            </c:strRef>
          </c:cat>
          <c:val>
            <c:numRef>
              <c:f>'Black Enrollment History'!$N$15:$P$15</c:f>
              <c:numCache>
                <c:formatCode>General</c:formatCode>
                <c:ptCount val="3"/>
                <c:pt idx="0">
                  <c:v>230</c:v>
                </c:pt>
                <c:pt idx="1">
                  <c:v>765</c:v>
                </c:pt>
                <c:pt idx="2">
                  <c:v>995</c:v>
                </c:pt>
              </c:numCache>
            </c:numRef>
          </c:val>
        </c:ser>
        <c:dLbls>
          <c:showLegendKey val="0"/>
          <c:showVal val="0"/>
          <c:showCatName val="0"/>
          <c:showSerName val="0"/>
          <c:showPercent val="0"/>
          <c:showBubbleSize val="0"/>
        </c:dLbls>
        <c:gapWidth val="150"/>
        <c:axId val="476052472"/>
        <c:axId val="476052864"/>
      </c:barChart>
      <c:catAx>
        <c:axId val="47605247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76052864"/>
        <c:crosses val="autoZero"/>
        <c:auto val="0"/>
        <c:lblAlgn val="ctr"/>
        <c:lblOffset val="100"/>
        <c:tickLblSkip val="1"/>
        <c:tickMarkSkip val="1"/>
        <c:noMultiLvlLbl val="0"/>
      </c:catAx>
      <c:valAx>
        <c:axId val="476052864"/>
        <c:scaling>
          <c:orientation val="minMax"/>
        </c:scaling>
        <c:delete val="0"/>
        <c:axPos val="l"/>
        <c:majorGridlines>
          <c:spPr>
            <a:ln w="12700">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76052472"/>
        <c:crosses val="autoZero"/>
        <c:crossBetween val="between"/>
      </c:valAx>
      <c:spPr>
        <a:solidFill>
          <a:srgbClr val="FFFFFF"/>
        </a:solidFill>
        <a:ln w="12700">
          <a:solidFill>
            <a:srgbClr val="808080"/>
          </a:solidFill>
          <a:prstDash val="solid"/>
        </a:ln>
      </c:spPr>
    </c:plotArea>
    <c:legend>
      <c:legendPos val="b"/>
      <c:layout>
        <c:manualLayout>
          <c:xMode val="edge"/>
          <c:yMode val="edge"/>
          <c:x val="0.31904811898512686"/>
          <c:y val="0.91764829396325465"/>
          <c:w val="0.31428621422322417"/>
          <c:h val="5.8823529411764719E-2"/>
        </c:manualLayout>
      </c:layout>
      <c:overlay val="0"/>
      <c:spPr>
        <a:solidFill>
          <a:srgbClr val="FFFFFF"/>
        </a:solidFill>
        <a:ln w="25400">
          <a:noFill/>
        </a:ln>
      </c:spPr>
      <c:txPr>
        <a:bodyPr/>
        <a:lstStyle/>
        <a:p>
          <a:pPr>
            <a:defRPr sz="67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377" r="0.75000000000000377" t="1" header="0.5" footer="0.5"/>
    <c:pageSetup orientation="landscape" horizontalDpi="300" verticalDpi="300"/>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Fall FTE Students</a:t>
            </a:r>
          </a:p>
        </c:rich>
      </c:tx>
      <c:layout>
        <c:manualLayout>
          <c:xMode val="edge"/>
          <c:yMode val="edge"/>
          <c:x val="0.40562942725449286"/>
          <c:y val="3.5947712418301019E-2"/>
        </c:manualLayout>
      </c:layout>
      <c:overlay val="0"/>
      <c:spPr>
        <a:noFill/>
        <a:ln w="25400">
          <a:noFill/>
        </a:ln>
      </c:spPr>
    </c:title>
    <c:autoTitleDeleted val="0"/>
    <c:plotArea>
      <c:layout>
        <c:manualLayout>
          <c:layoutTarget val="inner"/>
          <c:xMode val="edge"/>
          <c:yMode val="edge"/>
          <c:x val="8.2781523875274751E-2"/>
          <c:y val="0.16339921427955917"/>
          <c:w val="0.85264969591533502"/>
          <c:h val="0.70261662140210568"/>
        </c:manualLayout>
      </c:layout>
      <c:barChart>
        <c:barDir val="col"/>
        <c:grouping val="clustered"/>
        <c:varyColors val="0"/>
        <c:ser>
          <c:idx val="0"/>
          <c:order val="0"/>
          <c:spPr>
            <a:solidFill>
              <a:srgbClr val="969696"/>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dLbl>
            <c:dLbl>
              <c:idx val="1"/>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dLbl>
            <c:dLbl>
              <c:idx val="2"/>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dLbl>
            <c:dLbl>
              <c:idx val="3"/>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dLbl>
            <c:dLbl>
              <c:idx val="4"/>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dLbl>
            <c:spPr>
              <a:noFill/>
              <a:ln w="25400">
                <a:noFill/>
              </a:ln>
            </c:spPr>
            <c:txPr>
              <a:bodyPr/>
              <a:lstStyle/>
              <a:p>
                <a:pPr>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25400">
                <a:solidFill>
                  <a:srgbClr val="000000"/>
                </a:solidFill>
                <a:prstDash val="solid"/>
              </a:ln>
            </c:spPr>
            <c:trendlineType val="exp"/>
            <c:dispRSqr val="0"/>
            <c:dispEq val="0"/>
          </c:trendline>
          <c:cat>
            <c:numRef>
              <c:f>('FTE Student-Faculty Ratio'!$B$6,'FTE Student-Faculty Ratio'!$B$8,'FTE Student-Faculty Ratio'!$B$10,'FTE Student-Faculty Ratio'!$B$12,'FTE Student-Faculty Ratio'!$B$14)</c:f>
              <c:numCache>
                <c:formatCode>General</c:formatCode>
                <c:ptCount val="5"/>
                <c:pt idx="0">
                  <c:v>2008</c:v>
                </c:pt>
                <c:pt idx="1">
                  <c:v>2009</c:v>
                </c:pt>
                <c:pt idx="2">
                  <c:v>2010</c:v>
                </c:pt>
                <c:pt idx="3">
                  <c:v>2011</c:v>
                </c:pt>
                <c:pt idx="4">
                  <c:v>2012</c:v>
                </c:pt>
              </c:numCache>
            </c:numRef>
          </c:cat>
          <c:val>
            <c:numRef>
              <c:f>('FTE Student-Faculty Ratio'!$C$6,'FTE Student-Faculty Ratio'!$C$8,'FTE Student-Faculty Ratio'!$C$10,'FTE Student-Faculty Ratio'!$C$12,'FTE Student-Faculty Ratio'!$C$14)</c:f>
              <c:numCache>
                <c:formatCode>0</c:formatCode>
                <c:ptCount val="5"/>
                <c:pt idx="0">
                  <c:v>2377</c:v>
                </c:pt>
                <c:pt idx="1">
                  <c:v>2647</c:v>
                </c:pt>
                <c:pt idx="2">
                  <c:v>2851</c:v>
                </c:pt>
                <c:pt idx="3">
                  <c:v>2849</c:v>
                </c:pt>
                <c:pt idx="4">
                  <c:v>2817</c:v>
                </c:pt>
              </c:numCache>
            </c:numRef>
          </c:val>
        </c:ser>
        <c:dLbls>
          <c:showLegendKey val="0"/>
          <c:showVal val="0"/>
          <c:showCatName val="0"/>
          <c:showSerName val="0"/>
          <c:showPercent val="0"/>
          <c:showBubbleSize val="0"/>
        </c:dLbls>
        <c:gapWidth val="98"/>
        <c:axId val="476054040"/>
        <c:axId val="476054432"/>
      </c:barChart>
      <c:catAx>
        <c:axId val="476054040"/>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76054432"/>
        <c:crossesAt val="0"/>
        <c:auto val="0"/>
        <c:lblAlgn val="ctr"/>
        <c:lblOffset val="100"/>
        <c:tickLblSkip val="1"/>
        <c:tickMarkSkip val="1"/>
        <c:noMultiLvlLbl val="0"/>
      </c:catAx>
      <c:valAx>
        <c:axId val="476054432"/>
        <c:scaling>
          <c:orientation val="minMax"/>
          <c:max val="3000"/>
          <c:min val="200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76054040"/>
        <c:crosses val="autoZero"/>
        <c:crossBetween val="between"/>
        <c:majorUnit val="100"/>
        <c:minorUnit val="10"/>
      </c:valAx>
      <c:spPr>
        <a:solidFill>
          <a:srgbClr val="FFFFFF"/>
        </a:solidFill>
        <a:ln w="3175">
          <a:solidFill>
            <a:srgbClr val="000000"/>
          </a:solidFill>
          <a:prstDash val="solid"/>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455" r="0.7500000000000045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301117321461876"/>
          <c:y val="6.2091701426233062E-2"/>
          <c:w val="0.85736991860167655"/>
          <c:h val="0.69608065283092335"/>
        </c:manualLayout>
      </c:layout>
      <c:barChart>
        <c:barDir val="col"/>
        <c:grouping val="clustered"/>
        <c:varyColors val="0"/>
        <c:ser>
          <c:idx val="2"/>
          <c:order val="0"/>
          <c:tx>
            <c:strRef>
              <c:f>'Freshmen SAT 91-95'!$P$3:$P$4</c:f>
              <c:strCache>
                <c:ptCount val="2"/>
                <c:pt idx="0">
                  <c:v>COMBINED</c:v>
                </c:pt>
                <c:pt idx="1">
                  <c:v>Lander</c:v>
                </c:pt>
              </c:strCache>
            </c:strRef>
          </c:tx>
          <c:spPr>
            <a:solidFill>
              <a:srgbClr val="FFFFFF"/>
            </a:solidFill>
            <a:ln w="12700">
              <a:solidFill>
                <a:srgbClr val="000000"/>
              </a:solidFill>
              <a:prstDash val="solid"/>
            </a:ln>
          </c:spPr>
          <c:invertIfNegative val="0"/>
          <c:dLbls>
            <c:spPr>
              <a:noFill/>
              <a:ln w="25400">
                <a:noFill/>
              </a:ln>
            </c:spPr>
            <c:txPr>
              <a:bodyPr rot="-5400000" vert="horz"/>
              <a:lstStyle/>
              <a:p>
                <a:pPr algn="ct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trendline>
            <c:spPr>
              <a:ln w="12700">
                <a:solidFill>
                  <a:srgbClr val="000000"/>
                </a:solidFill>
                <a:prstDash val="solid"/>
              </a:ln>
            </c:spPr>
            <c:trendlineType val="exp"/>
            <c:dispRSqr val="0"/>
            <c:dispEq val="0"/>
          </c:trendline>
          <c:cat>
            <c:numRef>
              <c:f>'Freshmen SAT 91-95'!$O$5:$O$14</c:f>
              <c:numCache>
                <c:formatCode>General</c:formatCode>
                <c:ptCount val="10"/>
                <c:pt idx="1">
                  <c:v>1991</c:v>
                </c:pt>
                <c:pt idx="3">
                  <c:v>1992</c:v>
                </c:pt>
                <c:pt idx="5">
                  <c:v>1993</c:v>
                </c:pt>
                <c:pt idx="7">
                  <c:v>1994</c:v>
                </c:pt>
                <c:pt idx="9">
                  <c:v>1995</c:v>
                </c:pt>
              </c:numCache>
            </c:numRef>
          </c:cat>
          <c:val>
            <c:numRef>
              <c:f>'Freshmen SAT 91-95'!$P$5:$P$14</c:f>
              <c:numCache>
                <c:formatCode>General</c:formatCode>
                <c:ptCount val="10"/>
                <c:pt idx="1">
                  <c:v>863</c:v>
                </c:pt>
                <c:pt idx="3">
                  <c:v>858</c:v>
                </c:pt>
                <c:pt idx="5">
                  <c:v>861</c:v>
                </c:pt>
                <c:pt idx="7">
                  <c:v>887</c:v>
                </c:pt>
                <c:pt idx="9">
                  <c:v>922</c:v>
                </c:pt>
              </c:numCache>
            </c:numRef>
          </c:val>
        </c:ser>
        <c:ser>
          <c:idx val="0"/>
          <c:order val="1"/>
          <c:tx>
            <c:strRef>
              <c:f>'Freshmen SAT 91-95'!$Q$3:$Q$4</c:f>
              <c:strCache>
                <c:ptCount val="2"/>
                <c:pt idx="0">
                  <c:v>COMBINED</c:v>
                </c:pt>
                <c:pt idx="1">
                  <c:v>State</c:v>
                </c:pt>
              </c:strCache>
            </c:strRef>
          </c:tx>
          <c:spPr>
            <a:pattFill prst="wdUpDiag">
              <a:fgClr>
                <a:srgbClr val="FFFFFF"/>
              </a:fgClr>
              <a:bgClr>
                <a:srgbClr val="333333"/>
              </a:bgClr>
            </a:pattFill>
            <a:ln w="12700">
              <a:solidFill>
                <a:srgbClr val="000000"/>
              </a:solidFill>
              <a:prstDash val="solid"/>
            </a:ln>
          </c:spPr>
          <c:invertIfNegative val="0"/>
          <c:dLbls>
            <c:spPr>
              <a:noFill/>
              <a:ln w="25400">
                <a:noFill/>
              </a:ln>
            </c:spPr>
            <c:txPr>
              <a:bodyPr rot="-5400000" vert="horz"/>
              <a:lstStyle/>
              <a:p>
                <a:pPr algn="ct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trendline>
            <c:spPr>
              <a:ln w="12700">
                <a:solidFill>
                  <a:srgbClr val="000000"/>
                </a:solidFill>
                <a:prstDash val="solid"/>
              </a:ln>
            </c:spPr>
            <c:trendlineType val="exp"/>
            <c:dispRSqr val="0"/>
            <c:dispEq val="0"/>
          </c:trendline>
          <c:cat>
            <c:numRef>
              <c:f>'Freshmen SAT 91-95'!$O$5:$O$14</c:f>
              <c:numCache>
                <c:formatCode>General</c:formatCode>
                <c:ptCount val="10"/>
                <c:pt idx="1">
                  <c:v>1991</c:v>
                </c:pt>
                <c:pt idx="3">
                  <c:v>1992</c:v>
                </c:pt>
                <c:pt idx="5">
                  <c:v>1993</c:v>
                </c:pt>
                <c:pt idx="7">
                  <c:v>1994</c:v>
                </c:pt>
                <c:pt idx="9">
                  <c:v>1995</c:v>
                </c:pt>
              </c:numCache>
            </c:numRef>
          </c:cat>
          <c:val>
            <c:numRef>
              <c:f>'Freshmen SAT 91-95'!$Q$5:$Q$14</c:f>
              <c:numCache>
                <c:formatCode>General</c:formatCode>
                <c:ptCount val="10"/>
                <c:pt idx="1">
                  <c:v>832</c:v>
                </c:pt>
                <c:pt idx="3">
                  <c:v>831</c:v>
                </c:pt>
                <c:pt idx="5">
                  <c:v>838</c:v>
                </c:pt>
                <c:pt idx="7">
                  <c:v>838</c:v>
                </c:pt>
                <c:pt idx="9">
                  <c:v>844</c:v>
                </c:pt>
              </c:numCache>
            </c:numRef>
          </c:val>
        </c:ser>
        <c:ser>
          <c:idx val="1"/>
          <c:order val="2"/>
          <c:tx>
            <c:strRef>
              <c:f>'Freshmen SAT 91-95'!$R$3:$R$4</c:f>
              <c:strCache>
                <c:ptCount val="2"/>
                <c:pt idx="0">
                  <c:v>COMBINED</c:v>
                </c:pt>
                <c:pt idx="1">
                  <c:v> Nation</c:v>
                </c:pt>
              </c:strCache>
            </c:strRef>
          </c:tx>
          <c:spPr>
            <a:solidFill>
              <a:srgbClr val="C0C0C0"/>
            </a:solidFill>
            <a:ln w="12700">
              <a:solidFill>
                <a:srgbClr val="000000"/>
              </a:solidFill>
              <a:prstDash val="solid"/>
            </a:ln>
          </c:spPr>
          <c:invertIfNegative val="0"/>
          <c:dLbls>
            <c:spPr>
              <a:noFill/>
              <a:ln w="25400">
                <a:noFill/>
              </a:ln>
            </c:spPr>
            <c:txPr>
              <a:bodyPr rot="-5400000" vert="horz"/>
              <a:lstStyle/>
              <a:p>
                <a:pPr algn="ct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trendline>
            <c:spPr>
              <a:ln w="12700">
                <a:solidFill>
                  <a:srgbClr val="000000"/>
                </a:solidFill>
                <a:prstDash val="solid"/>
              </a:ln>
            </c:spPr>
            <c:trendlineType val="exp"/>
            <c:dispRSqr val="0"/>
            <c:dispEq val="0"/>
          </c:trendline>
          <c:cat>
            <c:numRef>
              <c:f>'Freshmen SAT 91-95'!$O$5:$O$14</c:f>
              <c:numCache>
                <c:formatCode>General</c:formatCode>
                <c:ptCount val="10"/>
                <c:pt idx="1">
                  <c:v>1991</c:v>
                </c:pt>
                <c:pt idx="3">
                  <c:v>1992</c:v>
                </c:pt>
                <c:pt idx="5">
                  <c:v>1993</c:v>
                </c:pt>
                <c:pt idx="7">
                  <c:v>1994</c:v>
                </c:pt>
                <c:pt idx="9">
                  <c:v>1995</c:v>
                </c:pt>
              </c:numCache>
            </c:numRef>
          </c:cat>
          <c:val>
            <c:numRef>
              <c:f>'Freshmen SAT 91-95'!$R$5:$R$14</c:f>
              <c:numCache>
                <c:formatCode>General</c:formatCode>
                <c:ptCount val="10"/>
                <c:pt idx="1">
                  <c:v>896</c:v>
                </c:pt>
                <c:pt idx="3">
                  <c:v>899</c:v>
                </c:pt>
                <c:pt idx="5">
                  <c:v>902</c:v>
                </c:pt>
                <c:pt idx="7">
                  <c:v>902</c:v>
                </c:pt>
                <c:pt idx="9">
                  <c:v>910</c:v>
                </c:pt>
              </c:numCache>
            </c:numRef>
          </c:val>
        </c:ser>
        <c:dLbls>
          <c:showLegendKey val="0"/>
          <c:showVal val="0"/>
          <c:showCatName val="0"/>
          <c:showSerName val="0"/>
          <c:showPercent val="0"/>
          <c:showBubbleSize val="0"/>
        </c:dLbls>
        <c:gapWidth val="0"/>
        <c:axId val="375372480"/>
        <c:axId val="375372872"/>
      </c:barChart>
      <c:catAx>
        <c:axId val="375372480"/>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75372872"/>
        <c:crosses val="autoZero"/>
        <c:auto val="0"/>
        <c:lblAlgn val="ctr"/>
        <c:lblOffset val="100"/>
        <c:tickLblSkip val="1"/>
        <c:tickMarkSkip val="1"/>
        <c:noMultiLvlLbl val="0"/>
      </c:catAx>
      <c:valAx>
        <c:axId val="375372872"/>
        <c:scaling>
          <c:orientation val="minMax"/>
        </c:scaling>
        <c:delete val="0"/>
        <c:axPos val="l"/>
        <c:majorGridlines>
          <c:spPr>
            <a:ln w="3175">
              <a:solidFill>
                <a:srgbClr val="000000"/>
              </a:solidFill>
              <a:prstDash val="solid"/>
            </a:ln>
          </c:spPr>
        </c:majorGridlines>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75372480"/>
        <c:crosses val="autoZero"/>
        <c:crossBetween val="between"/>
      </c:valAx>
      <c:spPr>
        <a:noFill/>
        <a:ln w="12700">
          <a:solidFill>
            <a:srgbClr val="808080"/>
          </a:solidFill>
          <a:prstDash val="solid"/>
        </a:ln>
      </c:spPr>
    </c:plotArea>
    <c:legend>
      <c:legendPos val="b"/>
      <c:legendEntry>
        <c:idx val="3"/>
        <c:delete val="1"/>
      </c:legendEntry>
      <c:legendEntry>
        <c:idx val="4"/>
        <c:delete val="1"/>
      </c:legendEntry>
      <c:legendEntry>
        <c:idx val="5"/>
        <c:delete val="1"/>
      </c:legendEntry>
      <c:layout>
        <c:manualLayout>
          <c:xMode val="edge"/>
          <c:yMode val="edge"/>
          <c:x val="0.2171158557636714"/>
          <c:y val="0.91503576758787564"/>
          <c:w val="0.54992125984251983"/>
          <c:h val="6.5359820218551135E-2"/>
        </c:manualLayout>
      </c:layout>
      <c:overlay val="0"/>
      <c:spPr>
        <a:solidFill>
          <a:srgbClr val="FFFFFF"/>
        </a:solidFill>
        <a:ln w="25400">
          <a:noFill/>
        </a:ln>
      </c:spPr>
      <c:txPr>
        <a:bodyPr/>
        <a:lstStyle/>
        <a:p>
          <a:pPr>
            <a:defRPr sz="4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377" r="0.75000000000000377" t="1" header="0.5" footer="0.5"/>
    <c:pageSetup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Fall FTE Teaching Faculty</a:t>
            </a:r>
          </a:p>
        </c:rich>
      </c:tx>
      <c:layout>
        <c:manualLayout>
          <c:xMode val="edge"/>
          <c:yMode val="edge"/>
          <c:x val="0.36092752726695088"/>
          <c:y val="3.5947712418301019E-2"/>
        </c:manualLayout>
      </c:layout>
      <c:overlay val="0"/>
      <c:spPr>
        <a:noFill/>
        <a:ln w="25400">
          <a:noFill/>
        </a:ln>
      </c:spPr>
    </c:title>
    <c:autoTitleDeleted val="0"/>
    <c:plotArea>
      <c:layout>
        <c:manualLayout>
          <c:layoutTarget val="inner"/>
          <c:xMode val="edge"/>
          <c:yMode val="edge"/>
          <c:x val="6.4569588622714308E-2"/>
          <c:y val="0.13071937142364756"/>
          <c:w val="0.86920600069039"/>
          <c:h val="0.75163638568597368"/>
        </c:manualLayout>
      </c:layout>
      <c:barChart>
        <c:barDir val="col"/>
        <c:grouping val="clustered"/>
        <c:varyColors val="0"/>
        <c:ser>
          <c:idx val="0"/>
          <c:order val="0"/>
          <c:spPr>
            <a:solidFill>
              <a:schemeClr val="bg1">
                <a:lumMod val="50000"/>
              </a:schemeClr>
            </a:solidFill>
          </c:spPr>
          <c:invertIfNegative val="0"/>
          <c:dLbls>
            <c:spPr>
              <a:noFill/>
              <a:ln>
                <a:noFill/>
              </a:ln>
              <a:effectLst/>
            </c:spPr>
            <c:txPr>
              <a:bodyPr/>
              <a:lstStyle/>
              <a:p>
                <a:pPr>
                  <a:defRPr b="0"/>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trendline>
            <c:spPr>
              <a:ln w="25400"/>
            </c:spPr>
            <c:trendlineType val="linear"/>
            <c:dispRSqr val="0"/>
            <c:dispEq val="0"/>
          </c:trendline>
          <c:cat>
            <c:numRef>
              <c:f>('FTE Student-Faculty Ratio'!$B$6,'FTE Student-Faculty Ratio'!$B$8,'FTE Student-Faculty Ratio'!$B$10,'FTE Student-Faculty Ratio'!$B$12,'FTE Student-Faculty Ratio'!$B$14)</c:f>
              <c:numCache>
                <c:formatCode>General</c:formatCode>
                <c:ptCount val="5"/>
                <c:pt idx="0">
                  <c:v>2008</c:v>
                </c:pt>
                <c:pt idx="1">
                  <c:v>2009</c:v>
                </c:pt>
                <c:pt idx="2">
                  <c:v>2010</c:v>
                </c:pt>
                <c:pt idx="3">
                  <c:v>2011</c:v>
                </c:pt>
                <c:pt idx="4">
                  <c:v>2012</c:v>
                </c:pt>
              </c:numCache>
            </c:numRef>
          </c:cat>
          <c:val>
            <c:numRef>
              <c:f>('FTE Student-Faculty Ratio'!$D$6,'FTE Student-Faculty Ratio'!$D$8,'FTE Student-Faculty Ratio'!$D$10,'FTE Student-Faculty Ratio'!$D$12,'FTE Student-Faculty Ratio'!$D$14)</c:f>
              <c:numCache>
                <c:formatCode>0.0</c:formatCode>
                <c:ptCount val="5"/>
                <c:pt idx="0">
                  <c:v>93.67</c:v>
                </c:pt>
                <c:pt idx="1">
                  <c:v>92.58</c:v>
                </c:pt>
                <c:pt idx="2">
                  <c:v>103.46</c:v>
                </c:pt>
                <c:pt idx="3">
                  <c:v>112.79</c:v>
                </c:pt>
                <c:pt idx="4">
                  <c:v>102.3</c:v>
                </c:pt>
              </c:numCache>
            </c:numRef>
          </c:val>
        </c:ser>
        <c:dLbls>
          <c:showLegendKey val="0"/>
          <c:showVal val="0"/>
          <c:showCatName val="0"/>
          <c:showSerName val="0"/>
          <c:showPercent val="0"/>
          <c:showBubbleSize val="0"/>
        </c:dLbls>
        <c:gapWidth val="98"/>
        <c:axId val="476055216"/>
        <c:axId val="476055608"/>
      </c:barChart>
      <c:catAx>
        <c:axId val="47605521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76055608"/>
        <c:crosses val="autoZero"/>
        <c:auto val="0"/>
        <c:lblAlgn val="ctr"/>
        <c:lblOffset val="100"/>
        <c:tickLblSkip val="1"/>
        <c:tickMarkSkip val="1"/>
        <c:noMultiLvlLbl val="0"/>
      </c:catAx>
      <c:valAx>
        <c:axId val="476055608"/>
        <c:scaling>
          <c:orientation val="minMax"/>
          <c:max val="180"/>
          <c:min val="0"/>
        </c:scaling>
        <c:delete val="0"/>
        <c:axPos val="l"/>
        <c:majorGridlines>
          <c:spPr>
            <a:ln w="3175">
              <a:solidFill>
                <a:srgbClr val="000000"/>
              </a:solidFill>
              <a:prstDash val="solid"/>
            </a:ln>
          </c:spPr>
        </c:majorGridlines>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76055216"/>
        <c:crosses val="autoZero"/>
        <c:crossBetween val="between"/>
      </c:valAx>
      <c:spPr>
        <a:solidFill>
          <a:srgbClr val="FFFFFF"/>
        </a:solidFill>
        <a:ln w="3175">
          <a:solidFill>
            <a:srgbClr val="000000"/>
          </a:solidFill>
          <a:prstDash val="solid"/>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455" r="0.75000000000000455" t="1" header="0.5" footer="0.5"/>
    <c:pageSetup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Fall FTE Student/Faculty Ratio</a:t>
            </a:r>
          </a:p>
        </c:rich>
      </c:tx>
      <c:layout>
        <c:manualLayout>
          <c:xMode val="edge"/>
          <c:yMode val="edge"/>
          <c:x val="0.33774862430248864"/>
          <c:y val="3.5947712418301019E-2"/>
        </c:manualLayout>
      </c:layout>
      <c:overlay val="0"/>
      <c:spPr>
        <a:noFill/>
        <a:ln w="25400">
          <a:noFill/>
        </a:ln>
      </c:spPr>
    </c:title>
    <c:autoTitleDeleted val="0"/>
    <c:plotArea>
      <c:layout>
        <c:manualLayout>
          <c:layoutTarget val="inner"/>
          <c:xMode val="edge"/>
          <c:yMode val="edge"/>
          <c:x val="5.2980175280175845E-2"/>
          <c:y val="0.1274513871380564"/>
          <c:w val="0.87913978355542244"/>
          <c:h val="0.7581723542571559"/>
        </c:manualLayout>
      </c:layout>
      <c:barChart>
        <c:barDir val="col"/>
        <c:grouping val="clustered"/>
        <c:varyColors val="0"/>
        <c:ser>
          <c:idx val="0"/>
          <c:order val="0"/>
          <c:spPr>
            <a:solidFill>
              <a:schemeClr val="bg1">
                <a:lumMod val="50000"/>
              </a:schemeClr>
            </a:solidFill>
          </c:spPr>
          <c:invertIfNegative val="0"/>
          <c:dLbls>
            <c:spPr>
              <a:noFill/>
              <a:ln>
                <a:noFill/>
              </a:ln>
              <a:effectLst/>
            </c:spPr>
            <c:txPr>
              <a:bodyPr/>
              <a:lstStyle/>
              <a:p>
                <a:pPr>
                  <a:defRPr b="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25400"/>
            </c:spPr>
            <c:trendlineType val="linear"/>
            <c:dispRSqr val="0"/>
            <c:dispEq val="0"/>
          </c:trendline>
          <c:cat>
            <c:numRef>
              <c:f>('FTE Student-Faculty Ratio'!$B$6,'FTE Student-Faculty Ratio'!$B$8,'FTE Student-Faculty Ratio'!$B$10,'FTE Student-Faculty Ratio'!$B$12,'FTE Student-Faculty Ratio'!$B$14)</c:f>
              <c:numCache>
                <c:formatCode>General</c:formatCode>
                <c:ptCount val="5"/>
                <c:pt idx="0">
                  <c:v>2008</c:v>
                </c:pt>
                <c:pt idx="1">
                  <c:v>2009</c:v>
                </c:pt>
                <c:pt idx="2">
                  <c:v>2010</c:v>
                </c:pt>
                <c:pt idx="3">
                  <c:v>2011</c:v>
                </c:pt>
                <c:pt idx="4">
                  <c:v>2012</c:v>
                </c:pt>
              </c:numCache>
            </c:numRef>
          </c:cat>
          <c:val>
            <c:numRef>
              <c:f>('FTE Student-Faculty Ratio'!$E$6,'FTE Student-Faculty Ratio'!$E$8,'FTE Student-Faculty Ratio'!$E$10,'FTE Student-Faculty Ratio'!$E$12,'FTE Student-Faculty Ratio'!$E$14)</c:f>
              <c:numCache>
                <c:formatCode>0.0</c:formatCode>
                <c:ptCount val="5"/>
                <c:pt idx="0">
                  <c:v>25.376321127362015</c:v>
                </c:pt>
                <c:pt idx="1">
                  <c:v>28.591488442428172</c:v>
                </c:pt>
                <c:pt idx="2">
                  <c:v>27.556543591726271</c:v>
                </c:pt>
                <c:pt idx="3">
                  <c:v>25.259331501019592</c:v>
                </c:pt>
                <c:pt idx="4">
                  <c:v>27.536656891495603</c:v>
                </c:pt>
              </c:numCache>
            </c:numRef>
          </c:val>
        </c:ser>
        <c:dLbls>
          <c:showLegendKey val="0"/>
          <c:showVal val="0"/>
          <c:showCatName val="0"/>
          <c:showSerName val="0"/>
          <c:showPercent val="0"/>
          <c:showBubbleSize val="0"/>
        </c:dLbls>
        <c:gapWidth val="98"/>
        <c:axId val="476056392"/>
        <c:axId val="476056784"/>
      </c:barChart>
      <c:catAx>
        <c:axId val="47605639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76056784"/>
        <c:crosses val="autoZero"/>
        <c:auto val="0"/>
        <c:lblAlgn val="ctr"/>
        <c:lblOffset val="100"/>
        <c:tickLblSkip val="1"/>
        <c:tickMarkSkip val="1"/>
        <c:noMultiLvlLbl val="0"/>
      </c:catAx>
      <c:valAx>
        <c:axId val="476056784"/>
        <c:scaling>
          <c:orientation val="minMax"/>
        </c:scaling>
        <c:delete val="0"/>
        <c:axPos val="l"/>
        <c:majorGridlines>
          <c:spPr>
            <a:ln w="3175">
              <a:solidFill>
                <a:srgbClr val="000000"/>
              </a:solidFill>
              <a:prstDash val="solid"/>
            </a:ln>
          </c:spPr>
        </c:majorGridlines>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7605639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455" r="0.75000000000000455" t="1" header="0.5" footer="0.5"/>
    <c:pageSetup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Full-Time Faculty Headcount by Division/School by Tenure Status and Terminal Degree
Fall 2012
</a:t>
            </a:r>
          </a:p>
        </c:rich>
      </c:tx>
      <c:layout>
        <c:manualLayout>
          <c:xMode val="edge"/>
          <c:yMode val="edge"/>
          <c:x val="0.12985571587125416"/>
          <c:y val="1.9575842708695782E-2"/>
        </c:manualLayout>
      </c:layout>
      <c:overlay val="0"/>
      <c:spPr>
        <a:noFill/>
        <a:ln w="25400">
          <a:noFill/>
        </a:ln>
      </c:spPr>
    </c:title>
    <c:autoTitleDeleted val="0"/>
    <c:plotArea>
      <c:layout>
        <c:manualLayout>
          <c:layoutTarget val="inner"/>
          <c:xMode val="edge"/>
          <c:yMode val="edge"/>
          <c:x val="4.1065482796892344E-2"/>
          <c:y val="0.13050570962479607"/>
          <c:w val="0.80244173140954889"/>
          <c:h val="0.61663947797716578"/>
        </c:manualLayout>
      </c:layout>
      <c:barChart>
        <c:barDir val="col"/>
        <c:grouping val="clustered"/>
        <c:varyColors val="0"/>
        <c:ser>
          <c:idx val="0"/>
          <c:order val="0"/>
          <c:tx>
            <c:strRef>
              <c:f>'Faculty by Div,Tenure,Degree'!$B$5</c:f>
              <c:strCache>
                <c:ptCount val="1"/>
                <c:pt idx="0">
                  <c:v>TOTAL FULL-TIME FACULTY</c:v>
                </c:pt>
              </c:strCache>
            </c:strRef>
          </c:tx>
          <c:spPr>
            <a:solidFill>
              <a:srgbClr val="C0C0C0"/>
            </a:solidFill>
            <a:ln w="12700">
              <a:solidFill>
                <a:srgbClr val="000000"/>
              </a:solidFill>
              <a:prstDash val="solid"/>
            </a:ln>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'Faculty by Div,Tenure,Degree'!$A$7:$A$33</c:f>
              <c:strCache>
                <c:ptCount val="27"/>
                <c:pt idx="0">
                  <c:v>Art</c:v>
                </c:pt>
                <c:pt idx="2">
                  <c:v>Biology</c:v>
                </c:pt>
                <c:pt idx="4">
                  <c:v>Business</c:v>
                </c:pt>
                <c:pt idx="6">
                  <c:v>Education</c:v>
                </c:pt>
                <c:pt idx="8">
                  <c:v>English/Foreign Language</c:v>
                </c:pt>
                <c:pt idx="10">
                  <c:v>History and Philosophy</c:v>
                </c:pt>
                <c:pt idx="12">
                  <c:v>Mass Communications/Theatre</c:v>
                </c:pt>
                <c:pt idx="14">
                  <c:v>Math and Computing</c:v>
                </c:pt>
                <c:pt idx="16">
                  <c:v>Music</c:v>
                </c:pt>
                <c:pt idx="18">
                  <c:v>Nursing</c:v>
                </c:pt>
                <c:pt idx="20">
                  <c:v>PEES</c:v>
                </c:pt>
                <c:pt idx="22">
                  <c:v>Physical Science</c:v>
                </c:pt>
                <c:pt idx="24">
                  <c:v>Political and Social Science</c:v>
                </c:pt>
                <c:pt idx="26">
                  <c:v>Psychology</c:v>
                </c:pt>
              </c:strCache>
            </c:strRef>
          </c:cat>
          <c:val>
            <c:numRef>
              <c:f>'Faculty by Div,Tenure,Degree'!$B$7:$B$33</c:f>
              <c:numCache>
                <c:formatCode>General</c:formatCode>
                <c:ptCount val="27"/>
                <c:pt idx="0" formatCode="0">
                  <c:v>7</c:v>
                </c:pt>
                <c:pt idx="2" formatCode="0">
                  <c:v>12</c:v>
                </c:pt>
                <c:pt idx="4" formatCode="0">
                  <c:v>14</c:v>
                </c:pt>
                <c:pt idx="6" formatCode="0">
                  <c:v>13</c:v>
                </c:pt>
                <c:pt idx="8" formatCode="0">
                  <c:v>17</c:v>
                </c:pt>
                <c:pt idx="10" formatCode="0">
                  <c:v>6</c:v>
                </c:pt>
                <c:pt idx="12" formatCode="0">
                  <c:v>7</c:v>
                </c:pt>
                <c:pt idx="14" formatCode="0">
                  <c:v>12</c:v>
                </c:pt>
                <c:pt idx="16" formatCode="0">
                  <c:v>6</c:v>
                </c:pt>
                <c:pt idx="18" formatCode="0">
                  <c:v>10</c:v>
                </c:pt>
                <c:pt idx="20" formatCode="0">
                  <c:v>7</c:v>
                </c:pt>
                <c:pt idx="22" formatCode="0">
                  <c:v>12</c:v>
                </c:pt>
                <c:pt idx="24" formatCode="0">
                  <c:v>7</c:v>
                </c:pt>
                <c:pt idx="26" formatCode="0">
                  <c:v>6</c:v>
                </c:pt>
              </c:numCache>
            </c:numRef>
          </c:val>
        </c:ser>
        <c:ser>
          <c:idx val="1"/>
          <c:order val="1"/>
          <c:tx>
            <c:strRef>
              <c:f>'Faculty by Div,Tenure,Degree'!$C$5</c:f>
              <c:strCache>
                <c:ptCount val="1"/>
                <c:pt idx="0">
                  <c:v>NUMBER WITH TENURE</c:v>
                </c:pt>
              </c:strCache>
            </c:strRef>
          </c:tx>
          <c:spPr>
            <a:solidFill>
              <a:srgbClr val="FFFFFF"/>
            </a:solidFill>
            <a:ln w="12700">
              <a:solidFill>
                <a:srgbClr val="000000"/>
              </a:solidFill>
              <a:prstDash val="solid"/>
            </a:ln>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'Faculty by Div,Tenure,Degree'!$A$7:$A$33</c:f>
              <c:strCache>
                <c:ptCount val="27"/>
                <c:pt idx="0">
                  <c:v>Art</c:v>
                </c:pt>
                <c:pt idx="2">
                  <c:v>Biology</c:v>
                </c:pt>
                <c:pt idx="4">
                  <c:v>Business</c:v>
                </c:pt>
                <c:pt idx="6">
                  <c:v>Education</c:v>
                </c:pt>
                <c:pt idx="8">
                  <c:v>English/Foreign Language</c:v>
                </c:pt>
                <c:pt idx="10">
                  <c:v>History and Philosophy</c:v>
                </c:pt>
                <c:pt idx="12">
                  <c:v>Mass Communications/Theatre</c:v>
                </c:pt>
                <c:pt idx="14">
                  <c:v>Math and Computing</c:v>
                </c:pt>
                <c:pt idx="16">
                  <c:v>Music</c:v>
                </c:pt>
                <c:pt idx="18">
                  <c:v>Nursing</c:v>
                </c:pt>
                <c:pt idx="20">
                  <c:v>PEES</c:v>
                </c:pt>
                <c:pt idx="22">
                  <c:v>Physical Science</c:v>
                </c:pt>
                <c:pt idx="24">
                  <c:v>Political and Social Science</c:v>
                </c:pt>
                <c:pt idx="26">
                  <c:v>Psychology</c:v>
                </c:pt>
              </c:strCache>
            </c:strRef>
          </c:cat>
          <c:val>
            <c:numRef>
              <c:f>'Faculty by Div,Tenure,Degree'!$C$7:$C$33</c:f>
              <c:numCache>
                <c:formatCode>General</c:formatCode>
                <c:ptCount val="27"/>
                <c:pt idx="0">
                  <c:v>1</c:v>
                </c:pt>
                <c:pt idx="2">
                  <c:v>3</c:v>
                </c:pt>
                <c:pt idx="4">
                  <c:v>7</c:v>
                </c:pt>
                <c:pt idx="6">
                  <c:v>4</c:v>
                </c:pt>
                <c:pt idx="8">
                  <c:v>4</c:v>
                </c:pt>
                <c:pt idx="10">
                  <c:v>4</c:v>
                </c:pt>
                <c:pt idx="12">
                  <c:v>2</c:v>
                </c:pt>
                <c:pt idx="14">
                  <c:v>5</c:v>
                </c:pt>
                <c:pt idx="16">
                  <c:v>3</c:v>
                </c:pt>
                <c:pt idx="18">
                  <c:v>5</c:v>
                </c:pt>
                <c:pt idx="20">
                  <c:v>2</c:v>
                </c:pt>
                <c:pt idx="22">
                  <c:v>5</c:v>
                </c:pt>
                <c:pt idx="24">
                  <c:v>3</c:v>
                </c:pt>
                <c:pt idx="26">
                  <c:v>3</c:v>
                </c:pt>
              </c:numCache>
            </c:numRef>
          </c:val>
        </c:ser>
        <c:ser>
          <c:idx val="2"/>
          <c:order val="2"/>
          <c:tx>
            <c:strRef>
              <c:f>'Faculty by Div,Tenure,Degree'!$D$5</c:f>
              <c:strCache>
                <c:ptCount val="1"/>
                <c:pt idx="0">
                  <c:v>NUMBER WITH TERMINAL DEGREE</c:v>
                </c:pt>
              </c:strCache>
            </c:strRef>
          </c:tx>
          <c:spPr>
            <a:pattFill prst="wdUpDiag">
              <a:fgClr>
                <a:srgbClr val="000000"/>
              </a:fgClr>
              <a:bgClr>
                <a:srgbClr val="FFFFFF"/>
              </a:bgClr>
            </a:pattFill>
            <a:ln w="12700">
              <a:solidFill>
                <a:srgbClr val="000000"/>
              </a:solidFill>
              <a:prstDash val="solid"/>
            </a:ln>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'Faculty by Div,Tenure,Degree'!$A$7:$A$33</c:f>
              <c:strCache>
                <c:ptCount val="27"/>
                <c:pt idx="0">
                  <c:v>Art</c:v>
                </c:pt>
                <c:pt idx="2">
                  <c:v>Biology</c:v>
                </c:pt>
                <c:pt idx="4">
                  <c:v>Business</c:v>
                </c:pt>
                <c:pt idx="6">
                  <c:v>Education</c:v>
                </c:pt>
                <c:pt idx="8">
                  <c:v>English/Foreign Language</c:v>
                </c:pt>
                <c:pt idx="10">
                  <c:v>History and Philosophy</c:v>
                </c:pt>
                <c:pt idx="12">
                  <c:v>Mass Communications/Theatre</c:v>
                </c:pt>
                <c:pt idx="14">
                  <c:v>Math and Computing</c:v>
                </c:pt>
                <c:pt idx="16">
                  <c:v>Music</c:v>
                </c:pt>
                <c:pt idx="18">
                  <c:v>Nursing</c:v>
                </c:pt>
                <c:pt idx="20">
                  <c:v>PEES</c:v>
                </c:pt>
                <c:pt idx="22">
                  <c:v>Physical Science</c:v>
                </c:pt>
                <c:pt idx="24">
                  <c:v>Political and Social Science</c:v>
                </c:pt>
                <c:pt idx="26">
                  <c:v>Psychology</c:v>
                </c:pt>
              </c:strCache>
            </c:strRef>
          </c:cat>
          <c:val>
            <c:numRef>
              <c:f>'Faculty by Div,Tenure,Degree'!$D$7:$D$33</c:f>
              <c:numCache>
                <c:formatCode>General</c:formatCode>
                <c:ptCount val="27"/>
                <c:pt idx="0">
                  <c:v>6</c:v>
                </c:pt>
                <c:pt idx="2">
                  <c:v>6</c:v>
                </c:pt>
                <c:pt idx="4">
                  <c:v>9</c:v>
                </c:pt>
                <c:pt idx="6">
                  <c:v>7</c:v>
                </c:pt>
                <c:pt idx="8">
                  <c:v>10</c:v>
                </c:pt>
                <c:pt idx="10">
                  <c:v>6</c:v>
                </c:pt>
                <c:pt idx="12">
                  <c:v>5</c:v>
                </c:pt>
                <c:pt idx="14">
                  <c:v>8</c:v>
                </c:pt>
                <c:pt idx="16">
                  <c:v>4</c:v>
                </c:pt>
                <c:pt idx="18">
                  <c:v>1</c:v>
                </c:pt>
                <c:pt idx="20">
                  <c:v>4</c:v>
                </c:pt>
                <c:pt idx="22">
                  <c:v>8</c:v>
                </c:pt>
                <c:pt idx="24">
                  <c:v>6</c:v>
                </c:pt>
                <c:pt idx="26">
                  <c:v>4</c:v>
                </c:pt>
              </c:numCache>
            </c:numRef>
          </c:val>
        </c:ser>
        <c:dLbls>
          <c:showLegendKey val="0"/>
          <c:showVal val="0"/>
          <c:showCatName val="0"/>
          <c:showSerName val="0"/>
          <c:showPercent val="0"/>
          <c:showBubbleSize val="0"/>
        </c:dLbls>
        <c:gapWidth val="0"/>
        <c:axId val="476057568"/>
        <c:axId val="476057960"/>
      </c:barChart>
      <c:catAx>
        <c:axId val="47605756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rtl="0">
              <a:defRPr sz="800" b="0" i="0" u="none" strike="noStrike" baseline="0">
                <a:solidFill>
                  <a:srgbClr val="000000"/>
                </a:solidFill>
                <a:latin typeface="Arial"/>
                <a:ea typeface="Arial"/>
                <a:cs typeface="Arial"/>
              </a:defRPr>
            </a:pPr>
            <a:endParaRPr lang="en-US"/>
          </a:p>
        </c:txPr>
        <c:crossAx val="476057960"/>
        <c:crosses val="autoZero"/>
        <c:auto val="1"/>
        <c:lblAlgn val="ctr"/>
        <c:lblOffset val="0"/>
        <c:tickLblSkip val="1"/>
        <c:tickMarkSkip val="1"/>
        <c:noMultiLvlLbl val="0"/>
      </c:catAx>
      <c:valAx>
        <c:axId val="476057960"/>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76057568"/>
        <c:crosses val="autoZero"/>
        <c:crossBetween val="between"/>
      </c:valAx>
      <c:spPr>
        <a:solidFill>
          <a:srgbClr val="FFFFFF"/>
        </a:solidFill>
        <a:ln w="3175">
          <a:solidFill>
            <a:srgbClr val="000000"/>
          </a:solidFill>
          <a:prstDash val="solid"/>
        </a:ln>
      </c:spPr>
    </c:plotArea>
    <c:legend>
      <c:legendPos val="r"/>
      <c:layout>
        <c:manualLayout>
          <c:xMode val="edge"/>
          <c:yMode val="edge"/>
          <c:x val="0.85349611542730297"/>
          <c:y val="0.37683518692732981"/>
          <c:w val="0.14539400665926749"/>
          <c:h val="0.1545598521389015"/>
        </c:manualLayout>
      </c:layout>
      <c:overlay val="0"/>
      <c:spPr>
        <a:solidFill>
          <a:srgbClr val="FFFFFF"/>
        </a:solidFill>
        <a:ln w="25400">
          <a:noFill/>
        </a:ln>
      </c:spPr>
      <c:txPr>
        <a:bodyPr/>
        <a:lstStyle/>
        <a:p>
          <a:pPr>
            <a:defRPr sz="5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4377510040160636E-2"/>
          <c:y val="5.1903114186851222E-2"/>
          <c:w val="0.81927710843373491"/>
          <c:h val="0.75086505190311892"/>
        </c:manualLayout>
      </c:layout>
      <c:barChart>
        <c:barDir val="col"/>
        <c:grouping val="clustered"/>
        <c:varyColors val="0"/>
        <c:ser>
          <c:idx val="1"/>
          <c:order val="0"/>
          <c:tx>
            <c:strRef>
              <c:f>'Faculty by Rank and Gender'!$C$5</c:f>
              <c:strCache>
                <c:ptCount val="1"/>
                <c:pt idx="0">
                  <c:v>Professor</c:v>
                </c:pt>
              </c:strCache>
            </c:strRef>
          </c:tx>
          <c:spPr>
            <a:pattFill prst="wdUpDiag">
              <a:fgClr>
                <a:srgbClr val="000000"/>
              </a:fgClr>
              <a:bgClr>
                <a:srgbClr val="FFFFFF"/>
              </a:bgClr>
            </a:patt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'Faculty by Rank and Gender'!$D$3:$F$3</c:f>
              <c:strCache>
                <c:ptCount val="3"/>
                <c:pt idx="0">
                  <c:v>Male</c:v>
                </c:pt>
                <c:pt idx="1">
                  <c:v>Female</c:v>
                </c:pt>
                <c:pt idx="2">
                  <c:v>Total</c:v>
                </c:pt>
              </c:strCache>
            </c:strRef>
          </c:cat>
          <c:val>
            <c:numRef>
              <c:f>'Faculty by Rank and Gender'!$D$5:$F$5</c:f>
              <c:numCache>
                <c:formatCode>General</c:formatCode>
                <c:ptCount val="3"/>
                <c:pt idx="0">
                  <c:v>9</c:v>
                </c:pt>
                <c:pt idx="1">
                  <c:v>7</c:v>
                </c:pt>
                <c:pt idx="2">
                  <c:v>16</c:v>
                </c:pt>
              </c:numCache>
            </c:numRef>
          </c:val>
        </c:ser>
        <c:ser>
          <c:idx val="3"/>
          <c:order val="1"/>
          <c:tx>
            <c:strRef>
              <c:f>'Faculty by Rank and Gender'!$C$7</c:f>
              <c:strCache>
                <c:ptCount val="1"/>
                <c:pt idx="0">
                  <c:v>Associate Professor</c:v>
                </c:pt>
              </c:strCache>
            </c:strRef>
          </c:tx>
          <c:spPr>
            <a:solidFill>
              <a:srgbClr val="FFFFFF"/>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'Faculty by Rank and Gender'!$D$3:$F$3</c:f>
              <c:strCache>
                <c:ptCount val="3"/>
                <c:pt idx="0">
                  <c:v>Male</c:v>
                </c:pt>
                <c:pt idx="1">
                  <c:v>Female</c:v>
                </c:pt>
                <c:pt idx="2">
                  <c:v>Total</c:v>
                </c:pt>
              </c:strCache>
            </c:strRef>
          </c:cat>
          <c:val>
            <c:numRef>
              <c:f>'Faculty by Rank and Gender'!$D$7:$F$7</c:f>
              <c:numCache>
                <c:formatCode>General</c:formatCode>
                <c:ptCount val="3"/>
                <c:pt idx="0">
                  <c:v>19</c:v>
                </c:pt>
                <c:pt idx="1">
                  <c:v>15</c:v>
                </c:pt>
                <c:pt idx="2">
                  <c:v>34</c:v>
                </c:pt>
              </c:numCache>
            </c:numRef>
          </c:val>
        </c:ser>
        <c:ser>
          <c:idx val="5"/>
          <c:order val="2"/>
          <c:tx>
            <c:strRef>
              <c:f>'Faculty by Rank and Gender'!$C$9</c:f>
              <c:strCache>
                <c:ptCount val="1"/>
                <c:pt idx="0">
                  <c:v>Assistant Professor</c:v>
                </c:pt>
              </c:strCache>
            </c:strRef>
          </c:tx>
          <c:spPr>
            <a:solidFill>
              <a:srgbClr val="808080"/>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'Faculty by Rank and Gender'!$D$3:$F$3</c:f>
              <c:strCache>
                <c:ptCount val="3"/>
                <c:pt idx="0">
                  <c:v>Male</c:v>
                </c:pt>
                <c:pt idx="1">
                  <c:v>Female</c:v>
                </c:pt>
                <c:pt idx="2">
                  <c:v>Total</c:v>
                </c:pt>
              </c:strCache>
            </c:strRef>
          </c:cat>
          <c:val>
            <c:numRef>
              <c:f>'Faculty by Rank and Gender'!$D$9:$F$9</c:f>
              <c:numCache>
                <c:formatCode>General</c:formatCode>
                <c:ptCount val="3"/>
                <c:pt idx="0">
                  <c:v>30</c:v>
                </c:pt>
                <c:pt idx="1">
                  <c:v>22</c:v>
                </c:pt>
                <c:pt idx="2">
                  <c:v>52</c:v>
                </c:pt>
              </c:numCache>
            </c:numRef>
          </c:val>
        </c:ser>
        <c:ser>
          <c:idx val="7"/>
          <c:order val="3"/>
          <c:tx>
            <c:strRef>
              <c:f>'Faculty by Rank and Gender'!$C$11</c:f>
              <c:strCache>
                <c:ptCount val="1"/>
                <c:pt idx="0">
                  <c:v>Instructor</c:v>
                </c:pt>
              </c:strCache>
            </c:strRef>
          </c:tx>
          <c:spPr>
            <a:pattFill prst="wdUpDiag">
              <a:fgClr>
                <a:srgbClr val="FFFFFF"/>
              </a:fgClr>
              <a:bgClr>
                <a:srgbClr val="C0C0C0"/>
              </a:bgClr>
            </a:patt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'Faculty by Rank and Gender'!$D$3:$F$3</c:f>
              <c:strCache>
                <c:ptCount val="3"/>
                <c:pt idx="0">
                  <c:v>Male</c:v>
                </c:pt>
                <c:pt idx="1">
                  <c:v>Female</c:v>
                </c:pt>
                <c:pt idx="2">
                  <c:v>Total</c:v>
                </c:pt>
              </c:strCache>
            </c:strRef>
          </c:cat>
          <c:val>
            <c:numRef>
              <c:f>'Faculty by Rank and Gender'!$D$11:$F$11</c:f>
              <c:numCache>
                <c:formatCode>General</c:formatCode>
                <c:ptCount val="3"/>
                <c:pt idx="0">
                  <c:v>8</c:v>
                </c:pt>
                <c:pt idx="1">
                  <c:v>22</c:v>
                </c:pt>
                <c:pt idx="2">
                  <c:v>30</c:v>
                </c:pt>
              </c:numCache>
            </c:numRef>
          </c:val>
        </c:ser>
        <c:ser>
          <c:idx val="0"/>
          <c:order val="4"/>
          <c:tx>
            <c:strRef>
              <c:f>'Faculty by Rank and Gender'!$C$13</c:f>
              <c:strCache>
                <c:ptCount val="1"/>
                <c:pt idx="0">
                  <c:v>Lecturer</c:v>
                </c:pt>
              </c:strCache>
            </c:strRef>
          </c:tx>
          <c:spPr>
            <a:solidFill>
              <a:schemeClr val="tx1"/>
            </a:solidFill>
          </c:spPr>
          <c:invertIfNegative val="0"/>
          <c:dLbls>
            <c:spPr>
              <a:noFill/>
              <a:ln>
                <a:noFill/>
              </a:ln>
              <a:effectLst/>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'Faculty by Rank and Gender'!$D$13:$F$13</c:f>
              <c:numCache>
                <c:formatCode>General</c:formatCode>
                <c:ptCount val="3"/>
                <c:pt idx="1">
                  <c:v>4</c:v>
                </c:pt>
                <c:pt idx="2">
                  <c:v>4</c:v>
                </c:pt>
              </c:numCache>
            </c:numRef>
          </c:val>
        </c:ser>
        <c:dLbls>
          <c:showLegendKey val="0"/>
          <c:showVal val="0"/>
          <c:showCatName val="0"/>
          <c:showSerName val="0"/>
          <c:showPercent val="0"/>
          <c:showBubbleSize val="0"/>
        </c:dLbls>
        <c:gapWidth val="140"/>
        <c:axId val="476058744"/>
        <c:axId val="477913016"/>
      </c:barChart>
      <c:catAx>
        <c:axId val="47605874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77913016"/>
        <c:crosses val="autoZero"/>
        <c:auto val="0"/>
        <c:lblAlgn val="ctr"/>
        <c:lblOffset val="100"/>
        <c:tickLblSkip val="1"/>
        <c:tickMarkSkip val="1"/>
        <c:noMultiLvlLbl val="0"/>
      </c:catAx>
      <c:valAx>
        <c:axId val="477913016"/>
        <c:scaling>
          <c:orientation val="minMax"/>
          <c:max val="50"/>
        </c:scaling>
        <c:delete val="0"/>
        <c:axPos val="l"/>
        <c:majorGridlines>
          <c:spPr>
            <a:ln w="3175">
              <a:solidFill>
                <a:srgbClr val="000000"/>
              </a:solidFill>
              <a:prstDash val="solid"/>
            </a:ln>
          </c:spPr>
        </c:majorGridlines>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76058744"/>
        <c:crosses val="autoZero"/>
        <c:crossBetween val="between"/>
      </c:valAx>
      <c:spPr>
        <a:noFill/>
        <a:ln w="12700">
          <a:solidFill>
            <a:srgbClr val="808080"/>
          </a:solidFill>
          <a:prstDash val="solid"/>
        </a:ln>
      </c:spPr>
    </c:plotArea>
    <c:legend>
      <c:legendPos val="b"/>
      <c:layout>
        <c:manualLayout>
          <c:xMode val="edge"/>
          <c:yMode val="edge"/>
          <c:x val="0.10729979175138318"/>
          <c:y val="0.92041664912206833"/>
          <c:w val="0.79602664103606768"/>
          <c:h val="6.0339118509840195E-2"/>
        </c:manualLayout>
      </c:layout>
      <c:overlay val="0"/>
      <c:spPr>
        <a:solidFill>
          <a:srgbClr val="FFFFFF"/>
        </a:solidFill>
        <a:ln w="25400">
          <a:noFill/>
        </a:ln>
      </c:spPr>
      <c:txPr>
        <a:bodyPr/>
        <a:lstStyle/>
        <a:p>
          <a:pPr>
            <a:defRPr sz="7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422" r="0.75000000000000422" t="1" header="0.5" footer="0.5"/>
    <c:pageSetup orientation="landscape" horizontalDpi="300" verticalDpi="300"/>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5662431941808"/>
          <c:y val="6.985294117647059E-2"/>
          <c:w val="0.83847549909255903"/>
          <c:h val="0.69117647058823561"/>
        </c:manualLayout>
      </c:layout>
      <c:barChart>
        <c:barDir val="col"/>
        <c:grouping val="clustered"/>
        <c:varyColors val="0"/>
        <c:ser>
          <c:idx val="2"/>
          <c:order val="0"/>
          <c:tx>
            <c:strRef>
              <c:f>'Faculty Salaries by Rank'!#REF!</c:f>
              <c:strCache>
                <c:ptCount val="1"/>
                <c:pt idx="0">
                  <c:v>#REF!</c:v>
                </c:pt>
              </c:strCache>
            </c:strRef>
          </c:tx>
          <c:spPr>
            <a:solidFill>
              <a:srgbClr val="000000"/>
            </a:solidFill>
            <a:ln w="12700">
              <a:solidFill>
                <a:srgbClr val="000000"/>
              </a:solidFill>
              <a:prstDash val="solid"/>
            </a:ln>
          </c:spPr>
          <c:invertIfNegative val="0"/>
          <c:dLbls>
            <c:spPr>
              <a:noFill/>
              <a:ln w="25400">
                <a:noFill/>
              </a:ln>
            </c:spPr>
            <c:txPr>
              <a:bodyPr rot="-5400000" vert="horz"/>
              <a:lstStyle/>
              <a:p>
                <a:pPr algn="ctr">
                  <a:defRPr sz="6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'Faculty Salaries by Rank'!#REF!</c:f>
              <c:numCache>
                <c:formatCode>General</c:formatCode>
                <c:ptCount val="1"/>
                <c:pt idx="0">
                  <c:v>1</c:v>
                </c:pt>
              </c:numCache>
            </c:numRef>
          </c:val>
          <c:extLst>
            <c:ext xmlns:c15="http://schemas.microsoft.com/office/drawing/2012/chart" uri="{02D57815-91ED-43cb-92C2-25804820EDAC}">
              <c15:filteredCategoryTitle>
                <c15:cat>
                  <c:strRef>
                    <c:extLst>
                      <c:ext uri="{02D57815-91ED-43cb-92C2-25804820EDAC}">
                        <c15:formulaRef>
                          <c15:sqref>'Faculty Salaries by Rank'!$A$5:$A$11</c15:sqref>
                        </c15:formulaRef>
                      </c:ext>
                    </c:extLst>
                  </c:strRef>
                </c15:cat>
              </c15:filteredCategoryTitle>
            </c:ext>
          </c:extLst>
        </c:ser>
        <c:ser>
          <c:idx val="3"/>
          <c:order val="1"/>
          <c:tx>
            <c:strRef>
              <c:f>'Faculty Salaries by Rank'!$B$3:$B$4</c:f>
              <c:strCache>
                <c:ptCount val="2"/>
                <c:pt idx="0">
                  <c:v>2007-2008</c:v>
                </c:pt>
              </c:strCache>
            </c:strRef>
          </c:tx>
          <c:spPr>
            <a:pattFill prst="wdUpDiag">
              <a:fgClr>
                <a:srgbClr val="000000"/>
              </a:fgClr>
              <a:bgClr>
                <a:srgbClr val="FFFFFF"/>
              </a:bgClr>
            </a:pattFill>
            <a:ln w="12700">
              <a:solidFill>
                <a:srgbClr val="000000"/>
              </a:solidFill>
              <a:prstDash val="solid"/>
            </a:ln>
          </c:spPr>
          <c:invertIfNegative val="0"/>
          <c:dLbls>
            <c:spPr>
              <a:noFill/>
              <a:ln w="25400">
                <a:noFill/>
              </a:ln>
            </c:spPr>
            <c:txPr>
              <a:bodyPr rot="-5400000" vert="horz"/>
              <a:lstStyle/>
              <a:p>
                <a:pPr algn="ctr">
                  <a:defRPr sz="6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'Faculty Salaries by Rank'!$B$5:$B$11</c:f>
            </c:numRef>
          </c:val>
          <c:extLst>
            <c:ext xmlns:c15="http://schemas.microsoft.com/office/drawing/2012/chart" uri="{02D57815-91ED-43cb-92C2-25804820EDAC}">
              <c15:filteredCategoryTitle>
                <c15:cat>
                  <c:strRef>
                    <c:extLst>
                      <c:ext uri="{02D57815-91ED-43cb-92C2-25804820EDAC}">
                        <c15:formulaRef>
                          <c15:sqref>'Faculty Salaries by Rank'!$A$5:$A$11</c15:sqref>
                        </c15:formulaRef>
                      </c:ext>
                    </c:extLst>
                  </c:strRef>
                </c15:cat>
              </c15:filteredCategoryTitle>
            </c:ext>
          </c:extLst>
        </c:ser>
        <c:ser>
          <c:idx val="4"/>
          <c:order val="2"/>
          <c:tx>
            <c:strRef>
              <c:f>'Faculty Salaries by Rank'!$C$3:$C$4</c:f>
              <c:strCache>
                <c:ptCount val="2"/>
                <c:pt idx="0">
                  <c:v>2008-2009</c:v>
                </c:pt>
              </c:strCache>
            </c:strRef>
          </c:tx>
          <c:spPr>
            <a:solidFill>
              <a:srgbClr val="969696"/>
            </a:solidFill>
            <a:ln w="12700">
              <a:solidFill>
                <a:srgbClr val="000000"/>
              </a:solidFill>
              <a:prstDash val="solid"/>
            </a:ln>
          </c:spPr>
          <c:invertIfNegative val="0"/>
          <c:dLbls>
            <c:spPr>
              <a:noFill/>
              <a:ln w="25400">
                <a:noFill/>
              </a:ln>
            </c:spPr>
            <c:txPr>
              <a:bodyPr rot="-5400000" vert="horz"/>
              <a:lstStyle/>
              <a:p>
                <a:pPr algn="ctr">
                  <a:defRPr sz="6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'Faculty Salaries by Rank'!$C$5:$C$11</c:f>
            </c:numRef>
          </c:val>
          <c:extLst>
            <c:ext xmlns:c15="http://schemas.microsoft.com/office/drawing/2012/chart" uri="{02D57815-91ED-43cb-92C2-25804820EDAC}">
              <c15:filteredCategoryTitle>
                <c15:cat>
                  <c:strRef>
                    <c:extLst>
                      <c:ext uri="{02D57815-91ED-43cb-92C2-25804820EDAC}">
                        <c15:formulaRef>
                          <c15:sqref>'Faculty Salaries by Rank'!$A$5:$A$11</c15:sqref>
                        </c15:formulaRef>
                      </c:ext>
                    </c:extLst>
                  </c:strRef>
                </c15:cat>
              </c15:filteredCategoryTitle>
            </c:ext>
          </c:extLst>
        </c:ser>
        <c:ser>
          <c:idx val="5"/>
          <c:order val="3"/>
          <c:tx>
            <c:strRef>
              <c:f>'Faculty Salaries by Rank'!$D$3:$D$4</c:f>
              <c:strCache>
                <c:ptCount val="2"/>
                <c:pt idx="0">
                  <c:v>2009-2010</c:v>
                </c:pt>
              </c:strCache>
            </c:strRef>
          </c:tx>
          <c:spPr>
            <a:pattFill prst="pct5">
              <a:fgClr>
                <a:srgbClr val="FFFFFF"/>
              </a:fgClr>
              <a:bgClr>
                <a:srgbClr val="000000"/>
              </a:bgClr>
            </a:pattFill>
            <a:ln w="12700">
              <a:solidFill>
                <a:srgbClr val="000000"/>
              </a:solidFill>
              <a:prstDash val="solid"/>
            </a:ln>
          </c:spPr>
          <c:invertIfNegative val="0"/>
          <c:dLbls>
            <c:spPr>
              <a:noFill/>
              <a:ln w="25400">
                <a:noFill/>
              </a:ln>
            </c:spPr>
            <c:txPr>
              <a:bodyPr rot="-5400000" vert="horz"/>
              <a:lstStyle/>
              <a:p>
                <a:pPr algn="ctr">
                  <a:defRPr sz="6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'Faculty Salaries by Rank'!$D$5:$D$11</c:f>
            </c:numRef>
          </c:val>
          <c:extLst>
            <c:ext xmlns:c15="http://schemas.microsoft.com/office/drawing/2012/chart" uri="{02D57815-91ED-43cb-92C2-25804820EDAC}">
              <c15:filteredCategoryTitle>
                <c15:cat>
                  <c:strRef>
                    <c:extLst>
                      <c:ext uri="{02D57815-91ED-43cb-92C2-25804820EDAC}">
                        <c15:formulaRef>
                          <c15:sqref>'Faculty Salaries by Rank'!$A$5:$A$11</c15:sqref>
                        </c15:formulaRef>
                      </c:ext>
                    </c:extLst>
                  </c:strRef>
                </c15:cat>
              </c15:filteredCategoryTitle>
            </c:ext>
          </c:extLst>
        </c:ser>
        <c:ser>
          <c:idx val="0"/>
          <c:order val="4"/>
          <c:tx>
            <c:strRef>
              <c:f>'Faculty Salaries by Rank'!$E$3</c:f>
              <c:strCache>
                <c:ptCount val="1"/>
                <c:pt idx="0">
                  <c:v>2010-2011</c:v>
                </c:pt>
              </c:strCache>
            </c:strRef>
          </c:tx>
          <c:spPr>
            <a:solidFill>
              <a:srgbClr val="FFFFFF"/>
            </a:solidFill>
            <a:ln w="12700">
              <a:solidFill>
                <a:srgbClr val="000000"/>
              </a:solidFill>
              <a:prstDash val="solid"/>
            </a:ln>
          </c:spPr>
          <c:invertIfNegative val="0"/>
          <c:dLbls>
            <c:spPr>
              <a:noFill/>
              <a:ln w="25400">
                <a:noFill/>
              </a:ln>
            </c:spPr>
            <c:txPr>
              <a:bodyPr rot="-5400000" vert="horz"/>
              <a:lstStyle/>
              <a:p>
                <a:pPr algn="ctr">
                  <a:defRPr sz="6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'Faculty Salaries by Rank'!$E$5:$E$11</c:f>
            </c:numRef>
          </c:val>
          <c:extLst>
            <c:ext xmlns:c15="http://schemas.microsoft.com/office/drawing/2012/chart" uri="{02D57815-91ED-43cb-92C2-25804820EDAC}">
              <c15:filteredCategoryTitle>
                <c15:cat>
                  <c:strRef>
                    <c:extLst>
                      <c:ext uri="{02D57815-91ED-43cb-92C2-25804820EDAC}">
                        <c15:formulaRef>
                          <c15:sqref>'Faculty Salaries by Rank'!$A$5:$A$11</c15:sqref>
                        </c15:formulaRef>
                      </c:ext>
                    </c:extLst>
                  </c:strRef>
                </c15:cat>
              </c15:filteredCategoryTitle>
            </c:ext>
          </c:extLst>
        </c:ser>
        <c:ser>
          <c:idx val="1"/>
          <c:order val="5"/>
          <c:tx>
            <c:strRef>
              <c:f>'Faculty Salaries by Rank'!$F$3</c:f>
              <c:strCache>
                <c:ptCount val="1"/>
                <c:pt idx="0">
                  <c:v>2011-2012</c:v>
                </c:pt>
              </c:strCache>
            </c:strRef>
          </c:tx>
          <c:spPr>
            <a:solidFill>
              <a:schemeClr val="tx1"/>
            </a:solidFill>
            <a:effectLst>
              <a:outerShdw blurRad="50800" dist="50800" dir="5400000" algn="ctr" rotWithShape="0">
                <a:schemeClr val="tx1"/>
              </a:outerShdw>
            </a:effectLst>
          </c:spPr>
          <c:invertIfNegative val="0"/>
          <c:dLbls>
            <c:spPr>
              <a:noFill/>
              <a:ln>
                <a:noFill/>
              </a:ln>
              <a:effectLst/>
            </c:spPr>
            <c:txPr>
              <a:bodyPr rot="-5400000" vert="horz"/>
              <a:lstStyle/>
              <a:p>
                <a:pPr algn="ctr">
                  <a:defRPr sz="6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'Faculty Salaries by Rank'!$F$5:$F$11</c:f>
            </c:numRef>
          </c:val>
        </c:ser>
        <c:dLbls>
          <c:showLegendKey val="0"/>
          <c:showVal val="0"/>
          <c:showCatName val="0"/>
          <c:showSerName val="0"/>
          <c:showPercent val="0"/>
          <c:showBubbleSize val="0"/>
        </c:dLbls>
        <c:gapWidth val="0"/>
        <c:axId val="477913800"/>
        <c:axId val="477914192"/>
      </c:barChart>
      <c:catAx>
        <c:axId val="477913800"/>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en-US"/>
          </a:p>
        </c:txPr>
        <c:crossAx val="477914192"/>
        <c:crosses val="autoZero"/>
        <c:auto val="0"/>
        <c:lblAlgn val="ctr"/>
        <c:lblOffset val="100"/>
        <c:tickLblSkip val="1"/>
        <c:tickMarkSkip val="1"/>
        <c:noMultiLvlLbl val="0"/>
      </c:catAx>
      <c:valAx>
        <c:axId val="477914192"/>
        <c:scaling>
          <c:orientation val="minMax"/>
        </c:scaling>
        <c:delete val="0"/>
        <c:axPos val="l"/>
        <c:majorGridlines>
          <c:spPr>
            <a:ln w="3175">
              <a:solidFill>
                <a:srgbClr val="000000"/>
              </a:solidFill>
              <a:prstDash val="solid"/>
            </a:ln>
          </c:spPr>
        </c:majorGridlines>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77913800"/>
        <c:crosses val="autoZero"/>
        <c:crossBetween val="between"/>
      </c:valAx>
      <c:spPr>
        <a:noFill/>
        <a:ln w="3175">
          <a:solidFill>
            <a:srgbClr val="000000"/>
          </a:solidFill>
          <a:prstDash val="solid"/>
        </a:ln>
      </c:spPr>
    </c:plotArea>
    <c:legend>
      <c:legendPos val="b"/>
      <c:layout>
        <c:manualLayout>
          <c:xMode val="edge"/>
          <c:yMode val="edge"/>
          <c:x val="0.22686034281815856"/>
          <c:y val="0.91911764705882371"/>
          <c:w val="0.53494641689644384"/>
          <c:h val="6.4110313416705422E-2"/>
        </c:manualLayout>
      </c:layout>
      <c:overlay val="0"/>
      <c:spPr>
        <a:solidFill>
          <a:srgbClr val="FFFFFF"/>
        </a:solidFill>
        <a:ln w="25400">
          <a:noFill/>
        </a:ln>
      </c:spPr>
      <c:txPr>
        <a:bodyPr/>
        <a:lstStyle/>
        <a:p>
          <a:pPr>
            <a:defRPr sz="4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4" r="0.750000000000004" t="1" header="0.5" footer="0.5"/>
    <c:pageSetup orientation="landscape" horizontalDpi="1200" verticalDpi="1200"/>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en-US"/>
              <a:t>Full-time Undergraduate Academic Fees by Academic Year</a:t>
            </a:r>
          </a:p>
        </c:rich>
      </c:tx>
      <c:layout>
        <c:manualLayout>
          <c:xMode val="edge"/>
          <c:yMode val="edge"/>
          <c:x val="0.13943377992783584"/>
          <c:y val="1.7006802721088437E-2"/>
        </c:manualLayout>
      </c:layout>
      <c:overlay val="0"/>
      <c:spPr>
        <a:noFill/>
        <a:ln w="25400">
          <a:noFill/>
        </a:ln>
      </c:spPr>
    </c:title>
    <c:autoTitleDeleted val="0"/>
    <c:plotArea>
      <c:layout>
        <c:manualLayout>
          <c:layoutTarget val="inner"/>
          <c:xMode val="edge"/>
          <c:yMode val="edge"/>
          <c:x val="0.12854057849217579"/>
          <c:y val="0.18707545132949296"/>
          <c:w val="0.7559928938438194"/>
          <c:h val="0.57823321320024579"/>
        </c:manualLayout>
      </c:layout>
      <c:barChart>
        <c:barDir val="col"/>
        <c:grouping val="clustered"/>
        <c:varyColors val="0"/>
        <c:ser>
          <c:idx val="0"/>
          <c:order val="0"/>
          <c:tx>
            <c:strRef>
              <c:f>'Academic Fees'!$C$4</c:f>
              <c:strCache>
                <c:ptCount val="1"/>
                <c:pt idx="0">
                  <c:v>IN-STATE</c:v>
                </c:pt>
              </c:strCache>
            </c:strRef>
          </c:tx>
          <c:spPr>
            <a:solidFill>
              <a:srgbClr val="FFFFFF"/>
            </a:solidFill>
            <a:ln w="12700">
              <a:solidFill>
                <a:srgbClr val="000000"/>
              </a:solidFill>
              <a:prstDash val="solid"/>
            </a:ln>
          </c:spPr>
          <c:invertIfNegative val="0"/>
          <c:dLbls>
            <c:spPr>
              <a:noFill/>
              <a:ln w="25400">
                <a:noFill/>
              </a:ln>
            </c:spPr>
            <c:txPr>
              <a:bodyPr rot="-5400000" vert="horz"/>
              <a:lstStyle/>
              <a:p>
                <a:pPr algn="r">
                  <a:defRPr sz="7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trendline>
            <c:spPr>
              <a:ln w="12700">
                <a:solidFill>
                  <a:srgbClr val="000000"/>
                </a:solidFill>
                <a:prstDash val="solid"/>
              </a:ln>
            </c:spPr>
            <c:trendlineType val="exp"/>
            <c:dispRSqr val="0"/>
            <c:dispEq val="0"/>
          </c:trendline>
          <c:cat>
            <c:strRef>
              <c:f>'Academic Fees'!$B$6:$B$14</c:f>
              <c:strCache>
                <c:ptCount val="9"/>
                <c:pt idx="0">
                  <c:v>2008-2009</c:v>
                </c:pt>
                <c:pt idx="2">
                  <c:v>2009-2010</c:v>
                </c:pt>
                <c:pt idx="4">
                  <c:v>2010-2011</c:v>
                </c:pt>
                <c:pt idx="6">
                  <c:v>2011-2012</c:v>
                </c:pt>
                <c:pt idx="8">
                  <c:v>2012-2013</c:v>
                </c:pt>
              </c:strCache>
            </c:strRef>
          </c:cat>
          <c:val>
            <c:numRef>
              <c:f>'Academic Fees'!$C$6:$C$14</c:f>
              <c:numCache>
                <c:formatCode>General</c:formatCode>
                <c:ptCount val="9"/>
                <c:pt idx="0" formatCode="_(&quot;$&quot;* #,##0_);_(&quot;$&quot;* \(#,##0\);_(&quot;$&quot;* &quot;-&quot;_);_(@_)">
                  <c:v>8380</c:v>
                </c:pt>
                <c:pt idx="2" formatCode="_(&quot;$&quot;* #,##0_);_(&quot;$&quot;* \(#,##0\);_(&quot;$&quot;* &quot;-&quot;_);_(@_)">
                  <c:v>8760</c:v>
                </c:pt>
                <c:pt idx="4" formatCode="_(&quot;$&quot;* #,##0_);_(&quot;$&quot;* \(#,##0\);_(&quot;$&quot;* &quot;-&quot;_);_(@_)">
                  <c:v>9144</c:v>
                </c:pt>
                <c:pt idx="6" formatCode="_(&quot;$&quot;* #,##0_);_(&quot;$&quot;* \(#,##0\);_(&quot;$&quot;* &quot;-&quot;_);_(@_)">
                  <c:v>9504</c:v>
                </c:pt>
                <c:pt idx="8" formatCode="_(&quot;$&quot;* #,##0_);_(&quot;$&quot;* \(#,##0\);_(&quot;$&quot;* &quot;-&quot;_);_(@_)">
                  <c:v>9792</c:v>
                </c:pt>
              </c:numCache>
            </c:numRef>
          </c:val>
        </c:ser>
        <c:ser>
          <c:idx val="1"/>
          <c:order val="1"/>
          <c:tx>
            <c:strRef>
              <c:f>'Academic Fees'!$D$4</c:f>
              <c:strCache>
                <c:ptCount val="1"/>
                <c:pt idx="0">
                  <c:v>OUT-OF-STATE</c:v>
                </c:pt>
              </c:strCache>
            </c:strRef>
          </c:tx>
          <c:spPr>
            <a:pattFill prst="wdUpDiag">
              <a:fgClr>
                <a:srgbClr val="FFFFFF"/>
              </a:fgClr>
              <a:bgClr>
                <a:srgbClr val="333333"/>
              </a:bgClr>
            </a:pattFill>
            <a:ln w="12700">
              <a:solidFill>
                <a:srgbClr val="000000"/>
              </a:solidFill>
              <a:prstDash val="solid"/>
            </a:ln>
          </c:spPr>
          <c:invertIfNegative val="0"/>
          <c:dLbls>
            <c:spPr>
              <a:noFill/>
              <a:ln w="25400">
                <a:noFill/>
              </a:ln>
            </c:spPr>
            <c:txPr>
              <a:bodyPr rot="-5400000" vert="horz"/>
              <a:lstStyle/>
              <a:p>
                <a:pPr algn="r">
                  <a:defRPr sz="7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trendline>
            <c:spPr>
              <a:ln w="12700">
                <a:solidFill>
                  <a:srgbClr val="000000"/>
                </a:solidFill>
                <a:prstDash val="solid"/>
              </a:ln>
            </c:spPr>
            <c:trendlineType val="exp"/>
            <c:dispRSqr val="0"/>
            <c:dispEq val="0"/>
          </c:trendline>
          <c:cat>
            <c:strRef>
              <c:f>'Academic Fees'!$B$6:$B$14</c:f>
              <c:strCache>
                <c:ptCount val="9"/>
                <c:pt idx="0">
                  <c:v>2008-2009</c:v>
                </c:pt>
                <c:pt idx="2">
                  <c:v>2009-2010</c:v>
                </c:pt>
                <c:pt idx="4">
                  <c:v>2010-2011</c:v>
                </c:pt>
                <c:pt idx="6">
                  <c:v>2011-2012</c:v>
                </c:pt>
                <c:pt idx="8">
                  <c:v>2012-2013</c:v>
                </c:pt>
              </c:strCache>
            </c:strRef>
          </c:cat>
          <c:val>
            <c:numRef>
              <c:f>'Academic Fees'!$D$6:$D$14</c:f>
              <c:numCache>
                <c:formatCode>General</c:formatCode>
                <c:ptCount val="9"/>
                <c:pt idx="0" formatCode="_(&quot;$&quot;* #,##0_);_(&quot;$&quot;* \(#,##0\);_(&quot;$&quot;* &quot;-&quot;_);_(@_)">
                  <c:v>15840</c:v>
                </c:pt>
                <c:pt idx="2" formatCode="_(&quot;$&quot;* #,##0_);_(&quot;$&quot;* \(#,##0\);_(&quot;$&quot;* &quot;-&quot;_);_(@_)">
                  <c:v>16560</c:v>
                </c:pt>
                <c:pt idx="4" formatCode="_(&quot;$&quot;* #,##0_);_(&quot;$&quot;* \(#,##0\);_(&quot;$&quot;* &quot;-&quot;_);_(@_)">
                  <c:v>17304</c:v>
                </c:pt>
                <c:pt idx="6" formatCode="_(&quot;$&quot;* #,##0_);_(&quot;$&quot;* \(#,##0\);_(&quot;$&quot;* &quot;-&quot;_);_(@_)">
                  <c:v>17976</c:v>
                </c:pt>
                <c:pt idx="8" formatCode="_(&quot;$&quot;* #,##0_);_(&quot;$&quot;* \(#,##0\);_(&quot;$&quot;* &quot;-&quot;_);_(@_)">
                  <c:v>18552</c:v>
                </c:pt>
              </c:numCache>
            </c:numRef>
          </c:val>
        </c:ser>
        <c:dLbls>
          <c:showLegendKey val="0"/>
          <c:showVal val="0"/>
          <c:showCatName val="1"/>
          <c:showSerName val="0"/>
          <c:showPercent val="0"/>
          <c:showBubbleSize val="0"/>
        </c:dLbls>
        <c:gapWidth val="0"/>
        <c:axId val="477914976"/>
        <c:axId val="477915368"/>
      </c:barChart>
      <c:catAx>
        <c:axId val="477914976"/>
        <c:scaling>
          <c:orientation val="minMax"/>
        </c:scaling>
        <c:delete val="0"/>
        <c:axPos val="b"/>
        <c:numFmt formatCode="General" sourceLinked="1"/>
        <c:majorTickMark val="in"/>
        <c:minorTickMark val="none"/>
        <c:tickLblPos val="nextTo"/>
        <c:spPr>
          <a:ln w="3175">
            <a:solidFill>
              <a:srgbClr val="000000"/>
            </a:solidFill>
            <a:prstDash val="solid"/>
          </a:ln>
        </c:spPr>
        <c:txPr>
          <a:bodyPr rot="-2700000" vert="horz"/>
          <a:lstStyle/>
          <a:p>
            <a:pPr>
              <a:defRPr sz="700" b="0" i="0" u="none" strike="noStrike" baseline="0">
                <a:solidFill>
                  <a:srgbClr val="000000"/>
                </a:solidFill>
                <a:latin typeface="Arial"/>
                <a:ea typeface="Arial"/>
                <a:cs typeface="Arial"/>
              </a:defRPr>
            </a:pPr>
            <a:endParaRPr lang="en-US"/>
          </a:p>
        </c:txPr>
        <c:crossAx val="477915368"/>
        <c:crosses val="autoZero"/>
        <c:auto val="1"/>
        <c:lblAlgn val="ctr"/>
        <c:lblOffset val="100"/>
        <c:tickLblSkip val="1"/>
        <c:tickMarkSkip val="1"/>
        <c:noMultiLvlLbl val="0"/>
      </c:catAx>
      <c:valAx>
        <c:axId val="477915368"/>
        <c:scaling>
          <c:orientation val="minMax"/>
        </c:scaling>
        <c:delete val="0"/>
        <c:axPos val="l"/>
        <c:majorGridlines>
          <c:spPr>
            <a:ln w="3175">
              <a:solidFill>
                <a:srgbClr val="000000"/>
              </a:solidFill>
              <a:prstDash val="solid"/>
            </a:ln>
          </c:spPr>
        </c:majorGridlines>
        <c:numFmt formatCode="_(&quot;$&quot;* #,##0_);_(&quot;$&quot;* \(#,##0\);_(&quot;$&quot;* &quot;-&quot;_);_(@_)"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77914976"/>
        <c:crosses val="autoZero"/>
        <c:crossBetween val="between"/>
      </c:valAx>
      <c:spPr>
        <a:solidFill>
          <a:srgbClr val="FFFFFF"/>
        </a:solidFill>
        <a:ln w="3175">
          <a:solidFill>
            <a:srgbClr val="000000"/>
          </a:solidFill>
          <a:prstDash val="solid"/>
        </a:ln>
      </c:spPr>
    </c:plotArea>
    <c:legend>
      <c:legendPos val="b"/>
      <c:legendEntry>
        <c:idx val="2"/>
        <c:delete val="1"/>
      </c:legendEntry>
      <c:legendEntry>
        <c:idx val="3"/>
        <c:delete val="1"/>
      </c:legendEntry>
      <c:layout>
        <c:manualLayout>
          <c:xMode val="edge"/>
          <c:yMode val="edge"/>
          <c:x val="0.35947781037174548"/>
          <c:y val="0.94218008463227809"/>
          <c:w val="0.27015319163535934"/>
          <c:h val="4.7619047619047693E-2"/>
        </c:manualLayout>
      </c:layout>
      <c:overlay val="0"/>
      <c:spPr>
        <a:solidFill>
          <a:srgbClr val="FFFFFF"/>
        </a:solidFill>
        <a:ln w="25400">
          <a:noFill/>
        </a:ln>
      </c:spPr>
      <c:txPr>
        <a:bodyPr/>
        <a:lstStyle/>
        <a:p>
          <a:pPr>
            <a:defRPr sz="35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4" r="0.750000000000004" t="1" header="0.5" footer="0.5"/>
    <c:pageSetup orientation="landscape" horizontalDpi="-4"/>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r>
              <a:rPr lang="en-US" baseline="0"/>
              <a:t> Financial Aid Volume in Dollars</a:t>
            </a:r>
          </a:p>
          <a:p>
            <a:pPr>
              <a:defRPr/>
            </a:pPr>
            <a:r>
              <a:rPr lang="en-US" sz="1200" b="0"/>
              <a:t>(40%</a:t>
            </a:r>
            <a:r>
              <a:rPr lang="en-US" sz="1200" b="0" baseline="0"/>
              <a:t> increase since 2008-09)</a:t>
            </a:r>
            <a:endParaRPr lang="en-US" sz="1200" b="0"/>
          </a:p>
        </c:rich>
      </c:tx>
      <c:layout>
        <c:manualLayout>
          <c:xMode val="edge"/>
          <c:yMode val="edge"/>
          <c:x val="0.21066249347939489"/>
          <c:y val="0"/>
        </c:manualLayout>
      </c:layout>
      <c:overlay val="0"/>
    </c:title>
    <c:autoTitleDeleted val="0"/>
    <c:plotArea>
      <c:layout/>
      <c:barChart>
        <c:barDir val="col"/>
        <c:grouping val="clustered"/>
        <c:varyColors val="0"/>
        <c:ser>
          <c:idx val="0"/>
          <c:order val="0"/>
          <c:tx>
            <c:strRef>
              <c:f>Chart_Aid!$A$3:$E$3</c:f>
              <c:strCache>
                <c:ptCount val="5"/>
                <c:pt idx="0">
                  <c:v>Total Financial Aid Volume in Dollars</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Chart_Aid!$A$5:$E$5</c:f>
              <c:strCache>
                <c:ptCount val="5"/>
                <c:pt idx="0">
                  <c:v>2008-2009</c:v>
                </c:pt>
                <c:pt idx="1">
                  <c:v>2009-2010</c:v>
                </c:pt>
                <c:pt idx="2">
                  <c:v>2010-2011</c:v>
                </c:pt>
                <c:pt idx="3">
                  <c:v>2011-2012</c:v>
                </c:pt>
                <c:pt idx="4">
                  <c:v>2012-2013</c:v>
                </c:pt>
              </c:strCache>
            </c:strRef>
          </c:cat>
          <c:val>
            <c:numRef>
              <c:f>Chart_Aid!$A$6:$E$6</c:f>
              <c:numCache>
                <c:formatCode>_("$"* #,##0_);_("$"* \(#,##0\);_("$"* "-"_);_(@_)</c:formatCode>
                <c:ptCount val="5"/>
                <c:pt idx="0">
                  <c:v>28398102</c:v>
                </c:pt>
                <c:pt idx="1">
                  <c:v>35109735</c:v>
                </c:pt>
                <c:pt idx="2">
                  <c:v>39286756</c:v>
                </c:pt>
                <c:pt idx="3">
                  <c:v>40513537</c:v>
                </c:pt>
                <c:pt idx="4">
                  <c:v>39893793</c:v>
                </c:pt>
              </c:numCache>
            </c:numRef>
          </c:val>
        </c:ser>
        <c:dLbls>
          <c:showLegendKey val="0"/>
          <c:showVal val="1"/>
          <c:showCatName val="0"/>
          <c:showSerName val="0"/>
          <c:showPercent val="0"/>
          <c:showBubbleSize val="0"/>
        </c:dLbls>
        <c:gapWidth val="150"/>
        <c:overlap val="-25"/>
        <c:axId val="477916152"/>
        <c:axId val="477916544"/>
      </c:barChart>
      <c:catAx>
        <c:axId val="477916152"/>
        <c:scaling>
          <c:orientation val="minMax"/>
        </c:scaling>
        <c:delete val="0"/>
        <c:axPos val="b"/>
        <c:numFmt formatCode="General" sourceLinked="0"/>
        <c:majorTickMark val="none"/>
        <c:minorTickMark val="none"/>
        <c:tickLblPos val="nextTo"/>
        <c:crossAx val="477916544"/>
        <c:crosses val="autoZero"/>
        <c:auto val="1"/>
        <c:lblAlgn val="ctr"/>
        <c:lblOffset val="100"/>
        <c:noMultiLvlLbl val="0"/>
      </c:catAx>
      <c:valAx>
        <c:axId val="477916544"/>
        <c:scaling>
          <c:orientation val="minMax"/>
        </c:scaling>
        <c:delete val="1"/>
        <c:axPos val="l"/>
        <c:numFmt formatCode="_(&quot;$&quot;* #,##0_);_(&quot;$&quot;* \(#,##0\);_(&quot;$&quot;* &quot;-&quot;_);_(@_)" sourceLinked="1"/>
        <c:majorTickMark val="out"/>
        <c:minorTickMark val="none"/>
        <c:tickLblPos val="none"/>
        <c:crossAx val="477916152"/>
        <c:crosses val="autoZero"/>
        <c:crossBetween val="between"/>
      </c:valAx>
    </c:plotArea>
    <c:plotVisOnly val="1"/>
    <c:dispBlanksAs val="gap"/>
    <c:showDLblsOverMax val="0"/>
  </c:chart>
  <c:printSettings>
    <c:headerFooter/>
    <c:pageMargins b="0.750000000000004" l="0.70000000000000062" r="0.70000000000000062" t="0.750000000000004" header="0.30000000000000032" footer="0.30000000000000032"/>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128526645768025E-2"/>
          <c:y val="0.11764743428128348"/>
          <c:w val="0.9106583072100316"/>
          <c:h val="0.65686484140383461"/>
        </c:manualLayout>
      </c:layout>
      <c:barChart>
        <c:barDir val="col"/>
        <c:grouping val="clustered"/>
        <c:varyColors val="0"/>
        <c:ser>
          <c:idx val="2"/>
          <c:order val="0"/>
          <c:tx>
            <c:strRef>
              <c:f>'Freshmen SAT 96-12'!$O$3:$O$4</c:f>
              <c:strCache>
                <c:ptCount val="2"/>
                <c:pt idx="0">
                  <c:v>COMBINED</c:v>
                </c:pt>
                <c:pt idx="1">
                  <c:v>Lander</c:v>
                </c:pt>
              </c:strCache>
            </c:strRef>
          </c:tx>
          <c:spPr>
            <a:solidFill>
              <a:srgbClr val="FFFFFF"/>
            </a:solidFill>
            <a:ln w="12700">
              <a:solidFill>
                <a:srgbClr val="000000"/>
              </a:solidFill>
              <a:prstDash val="solid"/>
            </a:ln>
          </c:spPr>
          <c:invertIfNegative val="0"/>
          <c:dLbls>
            <c:spPr>
              <a:noFill/>
              <a:ln w="25400">
                <a:noFill/>
              </a:ln>
            </c:spPr>
            <c:txPr>
              <a:bodyPr rot="-5400000" vert="horz"/>
              <a:lstStyle/>
              <a:p>
                <a:pPr algn="ctr">
                  <a:defRPr sz="7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2700">
                <a:solidFill>
                  <a:srgbClr val="000000"/>
                </a:solidFill>
                <a:prstDash val="solid"/>
              </a:ln>
            </c:spPr>
            <c:trendlineType val="log"/>
            <c:dispRSqr val="0"/>
            <c:dispEq val="0"/>
          </c:trendline>
          <c:cat>
            <c:numRef>
              <c:f>'Freshmen SAT 96-12'!$N$5:$N$38</c:f>
              <c:numCache>
                <c:formatCode>General</c:formatCode>
                <c:ptCount val="34"/>
                <c:pt idx="1">
                  <c:v>1996</c:v>
                </c:pt>
                <c:pt idx="3">
                  <c:v>1997</c:v>
                </c:pt>
                <c:pt idx="5">
                  <c:v>1998</c:v>
                </c:pt>
                <c:pt idx="7">
                  <c:v>1999</c:v>
                </c:pt>
                <c:pt idx="9">
                  <c:v>2000</c:v>
                </c:pt>
                <c:pt idx="11">
                  <c:v>2001</c:v>
                </c:pt>
                <c:pt idx="13">
                  <c:v>2002</c:v>
                </c:pt>
                <c:pt idx="15">
                  <c:v>2003</c:v>
                </c:pt>
                <c:pt idx="17">
                  <c:v>2004</c:v>
                </c:pt>
                <c:pt idx="19">
                  <c:v>2005</c:v>
                </c:pt>
                <c:pt idx="21">
                  <c:v>2006</c:v>
                </c:pt>
                <c:pt idx="23">
                  <c:v>2007</c:v>
                </c:pt>
                <c:pt idx="25">
                  <c:v>2008</c:v>
                </c:pt>
                <c:pt idx="27">
                  <c:v>2009</c:v>
                </c:pt>
                <c:pt idx="29">
                  <c:v>2010</c:v>
                </c:pt>
                <c:pt idx="31">
                  <c:v>2011</c:v>
                </c:pt>
                <c:pt idx="33">
                  <c:v>2012</c:v>
                </c:pt>
              </c:numCache>
            </c:numRef>
          </c:cat>
          <c:val>
            <c:numRef>
              <c:f>'Freshmen SAT 96-12'!$O$5:$O$38</c:f>
              <c:numCache>
                <c:formatCode>General</c:formatCode>
                <c:ptCount val="34"/>
                <c:pt idx="1">
                  <c:v>987</c:v>
                </c:pt>
                <c:pt idx="3">
                  <c:v>983</c:v>
                </c:pt>
                <c:pt idx="5">
                  <c:v>971</c:v>
                </c:pt>
                <c:pt idx="7">
                  <c:v>977</c:v>
                </c:pt>
                <c:pt idx="9">
                  <c:v>996</c:v>
                </c:pt>
                <c:pt idx="11">
                  <c:v>996</c:v>
                </c:pt>
                <c:pt idx="13">
                  <c:v>976</c:v>
                </c:pt>
                <c:pt idx="15">
                  <c:v>992</c:v>
                </c:pt>
                <c:pt idx="17">
                  <c:v>974</c:v>
                </c:pt>
                <c:pt idx="19">
                  <c:v>974</c:v>
                </c:pt>
                <c:pt idx="21">
                  <c:v>968</c:v>
                </c:pt>
                <c:pt idx="23">
                  <c:v>994</c:v>
                </c:pt>
                <c:pt idx="25">
                  <c:v>964</c:v>
                </c:pt>
                <c:pt idx="27">
                  <c:v>989</c:v>
                </c:pt>
                <c:pt idx="29">
                  <c:v>986</c:v>
                </c:pt>
                <c:pt idx="31">
                  <c:v>968</c:v>
                </c:pt>
                <c:pt idx="33">
                  <c:v>981</c:v>
                </c:pt>
              </c:numCache>
            </c:numRef>
          </c:val>
        </c:ser>
        <c:ser>
          <c:idx val="0"/>
          <c:order val="1"/>
          <c:tx>
            <c:strRef>
              <c:f>'Freshmen SAT 96-12'!$P$3:$P$4</c:f>
              <c:strCache>
                <c:ptCount val="2"/>
                <c:pt idx="0">
                  <c:v>COMBINED</c:v>
                </c:pt>
                <c:pt idx="1">
                  <c:v>State</c:v>
                </c:pt>
              </c:strCache>
            </c:strRef>
          </c:tx>
          <c:spPr>
            <a:pattFill prst="wdUpDiag">
              <a:fgClr>
                <a:srgbClr val="FFFFFF"/>
              </a:fgClr>
              <a:bgClr>
                <a:srgbClr val="333333"/>
              </a:bgClr>
            </a:pattFill>
            <a:ln w="12700">
              <a:solidFill>
                <a:srgbClr val="000000"/>
              </a:solidFill>
              <a:prstDash val="solid"/>
            </a:ln>
          </c:spPr>
          <c:invertIfNegative val="0"/>
          <c:dLbls>
            <c:spPr>
              <a:noFill/>
              <a:ln w="25400">
                <a:noFill/>
              </a:ln>
            </c:spPr>
            <c:txPr>
              <a:bodyPr rot="-5400000" vert="horz"/>
              <a:lstStyle/>
              <a:p>
                <a:pPr algn="ctr">
                  <a:defRPr sz="7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2700">
                <a:solidFill>
                  <a:srgbClr val="000000"/>
                </a:solidFill>
                <a:prstDash val="solid"/>
              </a:ln>
            </c:spPr>
            <c:trendlineType val="log"/>
            <c:dispRSqr val="0"/>
            <c:dispEq val="0"/>
          </c:trendline>
          <c:cat>
            <c:numRef>
              <c:f>'Freshmen SAT 96-12'!$N$5:$N$38</c:f>
              <c:numCache>
                <c:formatCode>General</c:formatCode>
                <c:ptCount val="34"/>
                <c:pt idx="1">
                  <c:v>1996</c:v>
                </c:pt>
                <c:pt idx="3">
                  <c:v>1997</c:v>
                </c:pt>
                <c:pt idx="5">
                  <c:v>1998</c:v>
                </c:pt>
                <c:pt idx="7">
                  <c:v>1999</c:v>
                </c:pt>
                <c:pt idx="9">
                  <c:v>2000</c:v>
                </c:pt>
                <c:pt idx="11">
                  <c:v>2001</c:v>
                </c:pt>
                <c:pt idx="13">
                  <c:v>2002</c:v>
                </c:pt>
                <c:pt idx="15">
                  <c:v>2003</c:v>
                </c:pt>
                <c:pt idx="17">
                  <c:v>2004</c:v>
                </c:pt>
                <c:pt idx="19">
                  <c:v>2005</c:v>
                </c:pt>
                <c:pt idx="21">
                  <c:v>2006</c:v>
                </c:pt>
                <c:pt idx="23">
                  <c:v>2007</c:v>
                </c:pt>
                <c:pt idx="25">
                  <c:v>2008</c:v>
                </c:pt>
                <c:pt idx="27">
                  <c:v>2009</c:v>
                </c:pt>
                <c:pt idx="29">
                  <c:v>2010</c:v>
                </c:pt>
                <c:pt idx="31">
                  <c:v>2011</c:v>
                </c:pt>
                <c:pt idx="33">
                  <c:v>2012</c:v>
                </c:pt>
              </c:numCache>
            </c:numRef>
          </c:cat>
          <c:val>
            <c:numRef>
              <c:f>'Freshmen SAT 96-12'!$P$5:$P$38</c:f>
              <c:numCache>
                <c:formatCode>General</c:formatCode>
                <c:ptCount val="34"/>
                <c:pt idx="1">
                  <c:v>954</c:v>
                </c:pt>
                <c:pt idx="3">
                  <c:v>953</c:v>
                </c:pt>
                <c:pt idx="5">
                  <c:v>951</c:v>
                </c:pt>
                <c:pt idx="7">
                  <c:v>954</c:v>
                </c:pt>
                <c:pt idx="9">
                  <c:v>966</c:v>
                </c:pt>
                <c:pt idx="11">
                  <c:v>974</c:v>
                </c:pt>
                <c:pt idx="13">
                  <c:v>981</c:v>
                </c:pt>
                <c:pt idx="15">
                  <c:v>989</c:v>
                </c:pt>
                <c:pt idx="17">
                  <c:v>986</c:v>
                </c:pt>
                <c:pt idx="19">
                  <c:v>993</c:v>
                </c:pt>
                <c:pt idx="21">
                  <c:v>985</c:v>
                </c:pt>
                <c:pt idx="23">
                  <c:v>984</c:v>
                </c:pt>
                <c:pt idx="25">
                  <c:v>985</c:v>
                </c:pt>
                <c:pt idx="27">
                  <c:v>982</c:v>
                </c:pt>
                <c:pt idx="29">
                  <c:v>979</c:v>
                </c:pt>
                <c:pt idx="31">
                  <c:v>972</c:v>
                </c:pt>
                <c:pt idx="33">
                  <c:v>969</c:v>
                </c:pt>
              </c:numCache>
            </c:numRef>
          </c:val>
        </c:ser>
        <c:ser>
          <c:idx val="1"/>
          <c:order val="2"/>
          <c:tx>
            <c:strRef>
              <c:f>'Freshmen SAT 96-12'!$Q$3:$Q$4</c:f>
              <c:strCache>
                <c:ptCount val="2"/>
                <c:pt idx="0">
                  <c:v>COMBINED</c:v>
                </c:pt>
                <c:pt idx="1">
                  <c:v> Nation</c:v>
                </c:pt>
              </c:strCache>
            </c:strRef>
          </c:tx>
          <c:spPr>
            <a:solidFill>
              <a:srgbClr val="C0C0C0"/>
            </a:solidFill>
            <a:ln w="12700">
              <a:solidFill>
                <a:srgbClr val="000000"/>
              </a:solidFill>
              <a:prstDash val="solid"/>
            </a:ln>
          </c:spPr>
          <c:invertIfNegative val="0"/>
          <c:dLbls>
            <c:spPr>
              <a:noFill/>
              <a:ln w="25400">
                <a:noFill/>
              </a:ln>
            </c:spPr>
            <c:txPr>
              <a:bodyPr rot="-5400000" vert="horz"/>
              <a:lstStyle/>
              <a:p>
                <a:pPr algn="ctr">
                  <a:defRPr sz="7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2700">
                <a:solidFill>
                  <a:srgbClr val="000000"/>
                </a:solidFill>
                <a:prstDash val="solid"/>
              </a:ln>
            </c:spPr>
            <c:trendlineType val="log"/>
            <c:dispRSqr val="0"/>
            <c:dispEq val="0"/>
          </c:trendline>
          <c:cat>
            <c:numRef>
              <c:f>'Freshmen SAT 96-12'!$N$5:$N$38</c:f>
              <c:numCache>
                <c:formatCode>General</c:formatCode>
                <c:ptCount val="34"/>
                <c:pt idx="1">
                  <c:v>1996</c:v>
                </c:pt>
                <c:pt idx="3">
                  <c:v>1997</c:v>
                </c:pt>
                <c:pt idx="5">
                  <c:v>1998</c:v>
                </c:pt>
                <c:pt idx="7">
                  <c:v>1999</c:v>
                </c:pt>
                <c:pt idx="9">
                  <c:v>2000</c:v>
                </c:pt>
                <c:pt idx="11">
                  <c:v>2001</c:v>
                </c:pt>
                <c:pt idx="13">
                  <c:v>2002</c:v>
                </c:pt>
                <c:pt idx="15">
                  <c:v>2003</c:v>
                </c:pt>
                <c:pt idx="17">
                  <c:v>2004</c:v>
                </c:pt>
                <c:pt idx="19">
                  <c:v>2005</c:v>
                </c:pt>
                <c:pt idx="21">
                  <c:v>2006</c:v>
                </c:pt>
                <c:pt idx="23">
                  <c:v>2007</c:v>
                </c:pt>
                <c:pt idx="25">
                  <c:v>2008</c:v>
                </c:pt>
                <c:pt idx="27">
                  <c:v>2009</c:v>
                </c:pt>
                <c:pt idx="29">
                  <c:v>2010</c:v>
                </c:pt>
                <c:pt idx="31">
                  <c:v>2011</c:v>
                </c:pt>
                <c:pt idx="33">
                  <c:v>2012</c:v>
                </c:pt>
              </c:numCache>
            </c:numRef>
          </c:cat>
          <c:val>
            <c:numRef>
              <c:f>'Freshmen SAT 96-12'!$Q$5:$Q$38</c:f>
              <c:numCache>
                <c:formatCode>General</c:formatCode>
                <c:ptCount val="34"/>
                <c:pt idx="1">
                  <c:v>1013</c:v>
                </c:pt>
                <c:pt idx="3">
                  <c:v>1016</c:v>
                </c:pt>
                <c:pt idx="5">
                  <c:v>1017</c:v>
                </c:pt>
                <c:pt idx="7">
                  <c:v>1016</c:v>
                </c:pt>
                <c:pt idx="9">
                  <c:v>1019</c:v>
                </c:pt>
                <c:pt idx="11">
                  <c:v>1020</c:v>
                </c:pt>
                <c:pt idx="13">
                  <c:v>1020</c:v>
                </c:pt>
                <c:pt idx="15">
                  <c:v>1026</c:v>
                </c:pt>
                <c:pt idx="17">
                  <c:v>1026</c:v>
                </c:pt>
                <c:pt idx="19">
                  <c:v>1028</c:v>
                </c:pt>
                <c:pt idx="21">
                  <c:v>1021</c:v>
                </c:pt>
                <c:pt idx="23">
                  <c:v>1017</c:v>
                </c:pt>
                <c:pt idx="25">
                  <c:v>1017</c:v>
                </c:pt>
                <c:pt idx="27">
                  <c:v>1016</c:v>
                </c:pt>
                <c:pt idx="29">
                  <c:v>1017</c:v>
                </c:pt>
                <c:pt idx="31">
                  <c:v>1011</c:v>
                </c:pt>
                <c:pt idx="33">
                  <c:v>1010</c:v>
                </c:pt>
              </c:numCache>
            </c:numRef>
          </c:val>
        </c:ser>
        <c:dLbls>
          <c:showLegendKey val="0"/>
          <c:showVal val="0"/>
          <c:showCatName val="0"/>
          <c:showSerName val="0"/>
          <c:showPercent val="0"/>
          <c:showBubbleSize val="0"/>
        </c:dLbls>
        <c:gapWidth val="0"/>
        <c:axId val="375374048"/>
        <c:axId val="375374440"/>
      </c:barChart>
      <c:catAx>
        <c:axId val="37537404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375374440"/>
        <c:crosses val="autoZero"/>
        <c:auto val="0"/>
        <c:lblAlgn val="ctr"/>
        <c:lblOffset val="100"/>
        <c:tickLblSkip val="1"/>
        <c:tickMarkSkip val="1"/>
        <c:noMultiLvlLbl val="0"/>
      </c:catAx>
      <c:valAx>
        <c:axId val="375374440"/>
        <c:scaling>
          <c:orientation val="minMax"/>
        </c:scaling>
        <c:delete val="0"/>
        <c:axPos val="l"/>
        <c:majorGridlines>
          <c:spPr>
            <a:ln w="3175">
              <a:solidFill>
                <a:srgbClr val="000000"/>
              </a:solidFill>
              <a:prstDash val="solid"/>
            </a:ln>
          </c:spPr>
        </c:majorGridlines>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75374048"/>
        <c:crosses val="autoZero"/>
        <c:crossBetween val="between"/>
      </c:valAx>
      <c:spPr>
        <a:noFill/>
        <a:ln w="12700">
          <a:solidFill>
            <a:srgbClr val="808080"/>
          </a:solidFill>
          <a:prstDash val="solid"/>
        </a:ln>
      </c:spPr>
    </c:plotArea>
    <c:legend>
      <c:legendPos val="b"/>
      <c:legendEntry>
        <c:idx val="3"/>
        <c:delete val="1"/>
      </c:legendEntry>
      <c:legendEntry>
        <c:idx val="4"/>
        <c:delete val="1"/>
      </c:legendEntry>
      <c:legendEntry>
        <c:idx val="5"/>
        <c:delete val="1"/>
      </c:legendEntry>
      <c:layout>
        <c:manualLayout>
          <c:xMode val="edge"/>
          <c:yMode val="edge"/>
          <c:x val="0.16186333201554751"/>
          <c:y val="0.9117674506372978"/>
          <c:w val="0.70608762451389917"/>
          <c:h val="6.5359820218551135E-2"/>
        </c:manualLayout>
      </c:layout>
      <c:overlay val="0"/>
      <c:spPr>
        <a:solidFill>
          <a:srgbClr val="FFFFFF"/>
        </a:solidFill>
        <a:ln w="25400">
          <a:noFill/>
        </a:ln>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377" r="0.75000000000000377" t="1" header="0.5" footer="0.5"/>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4900915493396298E-2"/>
          <c:y val="7.6142226342186439E-2"/>
          <c:w val="0.85977396573867804"/>
          <c:h val="0.72842729867359191"/>
        </c:manualLayout>
      </c:layout>
      <c:barChart>
        <c:barDir val="col"/>
        <c:grouping val="clustered"/>
        <c:varyColors val="0"/>
        <c:ser>
          <c:idx val="0"/>
          <c:order val="0"/>
          <c:tx>
            <c:strRef>
              <c:f>'Transfer Application History'!$K$3</c:f>
              <c:strCache>
                <c:ptCount val="1"/>
                <c:pt idx="0">
                  <c:v>APPLICATIONS RECEIVED</c:v>
                </c:pt>
              </c:strCache>
            </c:strRef>
          </c:tx>
          <c:spPr>
            <a:solidFill>
              <a:srgbClr val="C0C0C0"/>
            </a:solidFill>
            <a:ln w="12700">
              <a:solidFill>
                <a:srgbClr val="000000"/>
              </a:solidFill>
              <a:prstDash val="solid"/>
            </a:ln>
          </c:spPr>
          <c:invertIfNegative val="0"/>
          <c:dLbls>
            <c:spPr>
              <a:noFill/>
              <a:ln w="25400">
                <a:noFill/>
              </a:ln>
            </c:spPr>
            <c:txPr>
              <a:bodyPr rot="-5400000" vert="horz"/>
              <a:lstStyle/>
              <a:p>
                <a:pPr algn="ct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trendline>
            <c:spPr>
              <a:ln w="12700">
                <a:solidFill>
                  <a:srgbClr val="000000"/>
                </a:solidFill>
                <a:prstDash val="solid"/>
              </a:ln>
            </c:spPr>
            <c:trendlineType val="log"/>
            <c:dispRSqr val="0"/>
            <c:dispEq val="0"/>
          </c:trendline>
          <c:cat>
            <c:numRef>
              <c:f>'Transfer Application History'!$J$4:$J$13</c:f>
              <c:numCache>
                <c:formatCode>General</c:formatCode>
                <c:ptCount val="10"/>
                <c:pt idx="1">
                  <c:v>2007</c:v>
                </c:pt>
                <c:pt idx="3">
                  <c:v>2008</c:v>
                </c:pt>
                <c:pt idx="5">
                  <c:v>2009</c:v>
                </c:pt>
                <c:pt idx="7">
                  <c:v>2010</c:v>
                </c:pt>
                <c:pt idx="9">
                  <c:v>2012</c:v>
                </c:pt>
              </c:numCache>
            </c:numRef>
          </c:cat>
          <c:val>
            <c:numRef>
              <c:f>'Transfer Application History'!$K$4:$K$13</c:f>
              <c:numCache>
                <c:formatCode>General</c:formatCode>
                <c:ptCount val="10"/>
                <c:pt idx="1">
                  <c:v>611</c:v>
                </c:pt>
                <c:pt idx="3">
                  <c:v>585</c:v>
                </c:pt>
                <c:pt idx="5">
                  <c:v>617</c:v>
                </c:pt>
                <c:pt idx="7">
                  <c:v>639</c:v>
                </c:pt>
                <c:pt idx="9">
                  <c:v>598</c:v>
                </c:pt>
              </c:numCache>
            </c:numRef>
          </c:val>
        </c:ser>
        <c:ser>
          <c:idx val="1"/>
          <c:order val="1"/>
          <c:tx>
            <c:strRef>
              <c:f>'Transfer Application History'!$L$3</c:f>
              <c:strCache>
                <c:ptCount val="1"/>
                <c:pt idx="0">
                  <c:v>APPLICATIONS ACCEPTED</c:v>
                </c:pt>
              </c:strCache>
            </c:strRef>
          </c:tx>
          <c:spPr>
            <a:solidFill>
              <a:srgbClr val="FFFFFF"/>
            </a:solidFill>
            <a:ln w="12700">
              <a:solidFill>
                <a:srgbClr val="000000"/>
              </a:solidFill>
              <a:prstDash val="solid"/>
            </a:ln>
          </c:spPr>
          <c:invertIfNegative val="0"/>
          <c:dLbls>
            <c:spPr>
              <a:noFill/>
              <a:ln w="25400">
                <a:noFill/>
              </a:ln>
            </c:spPr>
            <c:txPr>
              <a:bodyPr rot="-5400000" vert="horz"/>
              <a:lstStyle/>
              <a:p>
                <a:pPr algn="ct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trendline>
            <c:spPr>
              <a:ln w="12700">
                <a:solidFill>
                  <a:srgbClr val="000000"/>
                </a:solidFill>
                <a:prstDash val="solid"/>
              </a:ln>
            </c:spPr>
            <c:trendlineType val="log"/>
            <c:dispRSqr val="0"/>
            <c:dispEq val="0"/>
          </c:trendline>
          <c:cat>
            <c:numRef>
              <c:f>'Transfer Application History'!$J$4:$J$13</c:f>
              <c:numCache>
                <c:formatCode>General</c:formatCode>
                <c:ptCount val="10"/>
                <c:pt idx="1">
                  <c:v>2007</c:v>
                </c:pt>
                <c:pt idx="3">
                  <c:v>2008</c:v>
                </c:pt>
                <c:pt idx="5">
                  <c:v>2009</c:v>
                </c:pt>
                <c:pt idx="7">
                  <c:v>2010</c:v>
                </c:pt>
                <c:pt idx="9">
                  <c:v>2012</c:v>
                </c:pt>
              </c:numCache>
            </c:numRef>
          </c:cat>
          <c:val>
            <c:numRef>
              <c:f>'Transfer Application History'!$L$4:$L$13</c:f>
              <c:numCache>
                <c:formatCode>General</c:formatCode>
                <c:ptCount val="10"/>
                <c:pt idx="1">
                  <c:v>298</c:v>
                </c:pt>
                <c:pt idx="3">
                  <c:v>343</c:v>
                </c:pt>
                <c:pt idx="5">
                  <c:v>334</c:v>
                </c:pt>
                <c:pt idx="7">
                  <c:v>299</c:v>
                </c:pt>
                <c:pt idx="9">
                  <c:v>311</c:v>
                </c:pt>
              </c:numCache>
            </c:numRef>
          </c:val>
        </c:ser>
        <c:ser>
          <c:idx val="2"/>
          <c:order val="2"/>
          <c:tx>
            <c:strRef>
              <c:f>'Transfer Application History'!$M$3</c:f>
              <c:strCache>
                <c:ptCount val="1"/>
                <c:pt idx="0">
                  <c:v>APPLICATIONS ENROLLED</c:v>
                </c:pt>
              </c:strCache>
            </c:strRef>
          </c:tx>
          <c:spPr>
            <a:pattFill prst="wdDnDiag">
              <a:fgClr>
                <a:srgbClr val="FFFFFF"/>
              </a:fgClr>
              <a:bgClr>
                <a:srgbClr val="333333"/>
              </a:bgClr>
            </a:pattFill>
            <a:ln w="12700">
              <a:solidFill>
                <a:srgbClr val="000000"/>
              </a:solidFill>
              <a:prstDash val="solid"/>
            </a:ln>
          </c:spPr>
          <c:invertIfNegative val="0"/>
          <c:dLbls>
            <c:spPr>
              <a:noFill/>
              <a:ln w="25400">
                <a:noFill/>
              </a:ln>
            </c:spPr>
            <c:txPr>
              <a:bodyPr rot="-5400000" vert="horz"/>
              <a:lstStyle/>
              <a:p>
                <a:pPr algn="ct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trendline>
            <c:spPr>
              <a:ln w="12700">
                <a:solidFill>
                  <a:srgbClr val="000000"/>
                </a:solidFill>
                <a:prstDash val="solid"/>
              </a:ln>
            </c:spPr>
            <c:trendlineType val="log"/>
            <c:dispRSqr val="0"/>
            <c:dispEq val="0"/>
          </c:trendline>
          <c:cat>
            <c:numRef>
              <c:f>'Transfer Application History'!$J$4:$J$13</c:f>
              <c:numCache>
                <c:formatCode>General</c:formatCode>
                <c:ptCount val="10"/>
                <c:pt idx="1">
                  <c:v>2007</c:v>
                </c:pt>
                <c:pt idx="3">
                  <c:v>2008</c:v>
                </c:pt>
                <c:pt idx="5">
                  <c:v>2009</c:v>
                </c:pt>
                <c:pt idx="7">
                  <c:v>2010</c:v>
                </c:pt>
                <c:pt idx="9">
                  <c:v>2012</c:v>
                </c:pt>
              </c:numCache>
            </c:numRef>
          </c:cat>
          <c:val>
            <c:numRef>
              <c:f>'Transfer Application History'!$M$4:$M$13</c:f>
              <c:numCache>
                <c:formatCode>General</c:formatCode>
                <c:ptCount val="10"/>
                <c:pt idx="1">
                  <c:v>215</c:v>
                </c:pt>
                <c:pt idx="3">
                  <c:v>248</c:v>
                </c:pt>
                <c:pt idx="5">
                  <c:v>216</c:v>
                </c:pt>
                <c:pt idx="7">
                  <c:v>201</c:v>
                </c:pt>
                <c:pt idx="9">
                  <c:v>203</c:v>
                </c:pt>
              </c:numCache>
            </c:numRef>
          </c:val>
        </c:ser>
        <c:dLbls>
          <c:showLegendKey val="0"/>
          <c:showVal val="0"/>
          <c:showCatName val="0"/>
          <c:showSerName val="0"/>
          <c:showPercent val="0"/>
          <c:showBubbleSize val="0"/>
        </c:dLbls>
        <c:gapWidth val="0"/>
        <c:axId val="469003616"/>
        <c:axId val="469004008"/>
      </c:barChart>
      <c:catAx>
        <c:axId val="469003616"/>
        <c:scaling>
          <c:orientation val="minMax"/>
        </c:scaling>
        <c:delete val="0"/>
        <c:axPos val="b"/>
        <c:title>
          <c:tx>
            <c:rich>
              <a:bodyPr/>
              <a:lstStyle/>
              <a:p>
                <a:pPr>
                  <a:defRPr sz="900" b="1" i="0" u="none" strike="noStrike" baseline="0">
                    <a:solidFill>
                      <a:srgbClr val="000000"/>
                    </a:solidFill>
                    <a:latin typeface="Arial"/>
                    <a:ea typeface="Arial"/>
                    <a:cs typeface="Arial"/>
                  </a:defRPr>
                </a:pPr>
                <a:r>
                  <a:rPr lang="en-US" sz="900"/>
                  <a:t>Fall of...</a:t>
                </a:r>
              </a:p>
            </c:rich>
          </c:tx>
          <c:layout>
            <c:manualLayout>
              <c:xMode val="edge"/>
              <c:yMode val="edge"/>
              <c:x val="0.49291814443874432"/>
              <c:y val="0.87309751255712975"/>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69004008"/>
        <c:crosses val="autoZero"/>
        <c:auto val="0"/>
        <c:lblAlgn val="ctr"/>
        <c:lblOffset val="100"/>
        <c:tickLblSkip val="1"/>
        <c:tickMarkSkip val="1"/>
        <c:noMultiLvlLbl val="0"/>
      </c:catAx>
      <c:valAx>
        <c:axId val="469004008"/>
        <c:scaling>
          <c:orientation val="minMax"/>
          <c:max val="700"/>
          <c:min val="0"/>
        </c:scaling>
        <c:delete val="0"/>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en-US" sz="1000"/>
                  <a:t>Number of Applicants</a:t>
                </a:r>
              </a:p>
            </c:rich>
          </c:tx>
          <c:layout>
            <c:manualLayout>
              <c:xMode val="edge"/>
              <c:yMode val="edge"/>
              <c:x val="2.5495750708215296E-2"/>
              <c:y val="0.28426422585501682"/>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69003616"/>
        <c:crosses val="autoZero"/>
        <c:crossBetween val="between"/>
        <c:majorUnit val="50"/>
      </c:valAx>
      <c:spPr>
        <a:noFill/>
        <a:ln w="12700">
          <a:solidFill>
            <a:srgbClr val="808080"/>
          </a:solidFill>
          <a:prstDash val="solid"/>
        </a:ln>
      </c:spPr>
    </c:plotArea>
    <c:legend>
      <c:legendPos val="b"/>
      <c:legendEntry>
        <c:idx val="3"/>
        <c:delete val="1"/>
      </c:legendEntry>
      <c:legendEntry>
        <c:idx val="4"/>
        <c:delete val="1"/>
      </c:legendEntry>
      <c:legendEntry>
        <c:idx val="5"/>
        <c:delete val="1"/>
      </c:legendEntry>
      <c:layout>
        <c:manualLayout>
          <c:xMode val="edge"/>
          <c:yMode val="edge"/>
          <c:x val="0.13309638137462507"/>
          <c:y val="0.94670157347083428"/>
          <c:w val="0.74984553241662699"/>
          <c:h val="3.8071065989847691E-2"/>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377" r="0.75000000000000377" t="1" header="0.5" footer="0.5"/>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2"/>
          <c:order val="0"/>
          <c:spPr>
            <a:solidFill>
              <a:srgbClr val="C0C0C0"/>
            </a:solidFill>
            <a:ln w="12700">
              <a:solidFill>
                <a:srgbClr val="000000"/>
              </a:solidFill>
              <a:prstDash val="solid"/>
            </a:ln>
          </c:spPr>
          <c:invertIfNegative val="0"/>
          <c:dLbls>
            <c:spPr>
              <a:noFill/>
              <a:ln w="25400">
                <a:noFill/>
              </a:ln>
            </c:spPr>
            <c:txPr>
              <a:bodyPr rot="-5400000" vert="horz"/>
              <a:lstStyle/>
              <a:p>
                <a:pPr algn="ctr">
                  <a:defRPr sz="600" b="1"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2700">
                <a:solidFill>
                  <a:srgbClr val="000000"/>
                </a:solidFill>
                <a:prstDash val="solid"/>
              </a:ln>
            </c:spPr>
            <c:trendlineType val="log"/>
            <c:dispRSqr val="0"/>
            <c:dispEq val="0"/>
          </c:trendline>
          <c:val>
            <c:numRef>
              <c:f>'UG cr hrs per student'!#REF!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'UG cr hrs per student'!#REF!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'UG cr hrs per student'!#REF!</c15:sqref>
                        </c15:formulaRef>
                      </c:ext>
                    </c:extLst>
                    <c:numCache>
                      <c:formatCode>General</c:formatCode>
                      <c:ptCount val="1"/>
                      <c:pt idx="0">
                        <c:v>1</c:v>
                      </c:pt>
                    </c:numCache>
                  </c:numRef>
                </c15:cat>
              </c15:filteredCategoryTitle>
            </c:ext>
          </c:extLst>
        </c:ser>
        <c:ser>
          <c:idx val="5"/>
          <c:order val="1"/>
          <c:spPr>
            <a:pattFill prst="wdUpDiag">
              <a:fgClr>
                <a:srgbClr val="333333"/>
              </a:fgClr>
              <a:bgClr>
                <a:srgbClr val="FFFFFF"/>
              </a:bgClr>
            </a:pattFill>
            <a:ln w="12700">
              <a:solidFill>
                <a:srgbClr val="000000"/>
              </a:solidFill>
              <a:prstDash val="solid"/>
            </a:ln>
          </c:spPr>
          <c:invertIfNegative val="0"/>
          <c:dLbls>
            <c:spPr>
              <a:noFill/>
              <a:ln w="25400">
                <a:noFill/>
              </a:ln>
            </c:spPr>
            <c:txPr>
              <a:bodyPr rot="-5400000" vert="horz"/>
              <a:lstStyle/>
              <a:p>
                <a:pPr algn="ctr">
                  <a:defRPr sz="600" b="1"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2700">
                <a:solidFill>
                  <a:srgbClr val="000000"/>
                </a:solidFill>
                <a:prstDash val="solid"/>
              </a:ln>
            </c:spPr>
            <c:trendlineType val="log"/>
            <c:dispRSqr val="0"/>
            <c:dispEq val="0"/>
          </c:trendline>
          <c:val>
            <c:numRef>
              <c:f>'UG cr hrs per student'!#REF!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'UG cr hrs per student'!#REF!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'UG cr hrs per student'!#REF!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0"/>
        <c:axId val="469004792"/>
        <c:axId val="469005184"/>
      </c:barChart>
      <c:catAx>
        <c:axId val="469004792"/>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Spring of...</a:t>
                </a:r>
              </a:p>
            </c:rich>
          </c:tx>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69005184"/>
        <c:crosses val="autoZero"/>
        <c:auto val="0"/>
        <c:lblAlgn val="ctr"/>
        <c:lblOffset val="100"/>
        <c:tickLblSkip val="1"/>
        <c:tickMarkSkip val="1"/>
        <c:noMultiLvlLbl val="0"/>
      </c:catAx>
      <c:valAx>
        <c:axId val="469005184"/>
        <c:scaling>
          <c:orientation val="minMax"/>
        </c:scaling>
        <c:delete val="0"/>
        <c:axPos val="l"/>
        <c:majorGridlines>
          <c:spPr>
            <a:ln w="3175">
              <a:solidFill>
                <a:srgbClr val="000000"/>
              </a:solidFill>
              <a:prstDash val="solid"/>
            </a:ln>
          </c:spPr>
        </c:majorGridlines>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69004792"/>
        <c:crosses val="autoZero"/>
        <c:crossBetween val="between"/>
      </c:valAx>
      <c:spPr>
        <a:noFill/>
        <a:ln w="12700">
          <a:solidFill>
            <a:srgbClr val="C0C0C0"/>
          </a:solidFill>
          <a:prstDash val="solid"/>
        </a:ln>
      </c:spPr>
    </c:plotArea>
    <c:legend>
      <c:legendPos val="r"/>
      <c:legendEntry>
        <c:idx val="2"/>
        <c:delete val="1"/>
      </c:legendEntry>
      <c:legendEntry>
        <c:idx val="3"/>
        <c:delete val="1"/>
      </c:legendEntry>
      <c:overlay val="0"/>
      <c:spPr>
        <a:solidFill>
          <a:srgbClr val="FFFFFF"/>
        </a:solidFill>
        <a:ln w="25400">
          <a:noFill/>
        </a:ln>
      </c:spPr>
      <c:txPr>
        <a:bodyPr/>
        <a:lstStyle/>
        <a:p>
          <a:pPr>
            <a:defRPr sz="3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377" r="0.75000000000000377" t="1" header="0.5" footer="0.5"/>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en-US"/>
              <a:t>Average Hours Enrolled per UG Student</a:t>
            </a:r>
          </a:p>
        </c:rich>
      </c:tx>
      <c:layout>
        <c:manualLayout>
          <c:xMode val="edge"/>
          <c:yMode val="edge"/>
          <c:x val="0.32742473367300096"/>
          <c:y val="2.4564906265329551E-2"/>
        </c:manualLayout>
      </c:layout>
      <c:overlay val="0"/>
      <c:spPr>
        <a:noFill/>
        <a:ln w="25400">
          <a:noFill/>
        </a:ln>
      </c:spPr>
    </c:title>
    <c:autoTitleDeleted val="0"/>
    <c:plotArea>
      <c:layout>
        <c:manualLayout>
          <c:layoutTarget val="inner"/>
          <c:xMode val="edge"/>
          <c:yMode val="edge"/>
          <c:x val="9.3097913322633452E-2"/>
          <c:y val="0.11287139626333952"/>
          <c:w val="0.884430176565008"/>
          <c:h val="0.80000077351560062"/>
        </c:manualLayout>
      </c:layout>
      <c:barChart>
        <c:barDir val="col"/>
        <c:grouping val="clustered"/>
        <c:varyColors val="0"/>
        <c:ser>
          <c:idx val="0"/>
          <c:order val="0"/>
          <c:spPr>
            <a:solidFill>
              <a:schemeClr val="bg1">
                <a:lumMod val="65000"/>
              </a:schemeClr>
            </a:solidFill>
          </c:spPr>
          <c:invertIfNegative val="0"/>
          <c:dLbls>
            <c:spPr>
              <a:noFill/>
              <a:ln>
                <a:noFill/>
              </a:ln>
              <a:effectLst/>
            </c:spPr>
            <c:txPr>
              <a:bodyPr/>
              <a:lstStyle/>
              <a:p>
                <a:pPr>
                  <a:defRPr sz="9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'UG cr hrs per student'!$Y$6:$Y$15</c:f>
              <c:numCache>
                <c:formatCode>General</c:formatCode>
                <c:ptCount val="10"/>
                <c:pt idx="0">
                  <c:v>2003</c:v>
                </c:pt>
                <c:pt idx="1">
                  <c:v>2004</c:v>
                </c:pt>
                <c:pt idx="2">
                  <c:v>2005</c:v>
                </c:pt>
                <c:pt idx="3">
                  <c:v>2006</c:v>
                </c:pt>
                <c:pt idx="4">
                  <c:v>2007</c:v>
                </c:pt>
                <c:pt idx="5">
                  <c:v>2008</c:v>
                </c:pt>
                <c:pt idx="6">
                  <c:v>2009</c:v>
                </c:pt>
                <c:pt idx="7">
                  <c:v>2010</c:v>
                </c:pt>
                <c:pt idx="8">
                  <c:v>2011</c:v>
                </c:pt>
                <c:pt idx="9">
                  <c:v>2012</c:v>
                </c:pt>
              </c:numCache>
            </c:numRef>
          </c:cat>
          <c:val>
            <c:numRef>
              <c:f>'UG cr hrs per student'!$Z$6:$Z$15</c:f>
              <c:numCache>
                <c:formatCode>0.00</c:formatCode>
                <c:ptCount val="10"/>
                <c:pt idx="0">
                  <c:v>13.45596051632498</c:v>
                </c:pt>
                <c:pt idx="1">
                  <c:v>13.540065861690451</c:v>
                </c:pt>
                <c:pt idx="2">
                  <c:v>13.774119448698315</c:v>
                </c:pt>
                <c:pt idx="3">
                  <c:v>13.508137774413322</c:v>
                </c:pt>
                <c:pt idx="4">
                  <c:v>13.692796610169491</c:v>
                </c:pt>
                <c:pt idx="5">
                  <c:v>13.838976377952756</c:v>
                </c:pt>
                <c:pt idx="6">
                  <c:v>14.141986375044819</c:v>
                </c:pt>
                <c:pt idx="7">
                  <c:v>14.107476635514018</c:v>
                </c:pt>
                <c:pt idx="8">
                  <c:v>14.001481237656353</c:v>
                </c:pt>
                <c:pt idx="9" formatCode="General">
                  <c:v>14.08</c:v>
                </c:pt>
              </c:numCache>
            </c:numRef>
          </c:val>
        </c:ser>
        <c:dLbls>
          <c:showLegendKey val="0"/>
          <c:showVal val="0"/>
          <c:showCatName val="0"/>
          <c:showSerName val="0"/>
          <c:showPercent val="0"/>
          <c:showBubbleSize val="0"/>
        </c:dLbls>
        <c:gapWidth val="150"/>
        <c:axId val="469005968"/>
        <c:axId val="469006360"/>
      </c:barChart>
      <c:catAx>
        <c:axId val="4690059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en-US"/>
          </a:p>
        </c:txPr>
        <c:crossAx val="469006360"/>
        <c:crosses val="autoZero"/>
        <c:auto val="1"/>
        <c:lblAlgn val="ctr"/>
        <c:lblOffset val="100"/>
        <c:tickLblSkip val="1"/>
        <c:tickMarkSkip val="1"/>
        <c:noMultiLvlLbl val="0"/>
      </c:catAx>
      <c:valAx>
        <c:axId val="469006360"/>
        <c:scaling>
          <c:orientation val="minMax"/>
          <c:max val="14.4"/>
          <c:min val="13"/>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en-US"/>
          </a:p>
        </c:txPr>
        <c:crossAx val="4690059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en-US"/>
    </a:p>
  </c:txPr>
  <c:printSettings>
    <c:headerFooter alignWithMargins="0"/>
    <c:pageMargins b="1" l="0.75000000000000377" r="0.75000000000000377"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133370138984738"/>
          <c:y val="0.13679245283018987"/>
          <c:w val="0.73866859028278764"/>
          <c:h val="0.59905660377358494"/>
        </c:manualLayout>
      </c:layout>
      <c:barChart>
        <c:barDir val="col"/>
        <c:grouping val="clustered"/>
        <c:varyColors val="0"/>
        <c:ser>
          <c:idx val="2"/>
          <c:order val="0"/>
          <c:tx>
            <c:strRef>
              <c:f>'Headcount &amp; FTE History'!$E$23:$E$25</c:f>
              <c:strCache>
                <c:ptCount val="3"/>
                <c:pt idx="0">
                  <c:v>HEADCOUNT</c:v>
                </c:pt>
                <c:pt idx="1">
                  <c:v>TOTAL</c:v>
                </c:pt>
              </c:strCache>
            </c:strRef>
          </c:tx>
          <c:spPr>
            <a:solidFill>
              <a:srgbClr val="C0C0C0"/>
            </a:solidFill>
            <a:ln w="12700">
              <a:solidFill>
                <a:srgbClr val="000000"/>
              </a:solidFill>
              <a:prstDash val="solid"/>
            </a:ln>
          </c:spPr>
          <c:invertIfNegative val="0"/>
          <c:dLbls>
            <c:spPr>
              <a:noFill/>
              <a:ln w="25400">
                <a:noFill/>
              </a:ln>
            </c:spPr>
            <c:txPr>
              <a:bodyPr rot="-5400000" vert="horz"/>
              <a:lstStyle/>
              <a:p>
                <a:pPr algn="ctr">
                  <a:defRPr sz="600" b="1"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trendline>
            <c:spPr>
              <a:ln w="12700">
                <a:solidFill>
                  <a:srgbClr val="000000"/>
                </a:solidFill>
                <a:prstDash val="solid"/>
              </a:ln>
            </c:spPr>
            <c:trendlineType val="log"/>
            <c:dispRSqr val="0"/>
            <c:dispEq val="0"/>
          </c:trendline>
          <c:cat>
            <c:numRef>
              <c:f>'Headcount &amp; FTE History'!$B$26:$B$34</c:f>
              <c:numCache>
                <c:formatCode>General</c:formatCode>
                <c:ptCount val="9"/>
                <c:pt idx="0">
                  <c:v>2009</c:v>
                </c:pt>
                <c:pt idx="2">
                  <c:v>2010</c:v>
                </c:pt>
                <c:pt idx="4">
                  <c:v>2011</c:v>
                </c:pt>
                <c:pt idx="6">
                  <c:v>2012</c:v>
                </c:pt>
                <c:pt idx="8">
                  <c:v>2013</c:v>
                </c:pt>
              </c:numCache>
            </c:numRef>
          </c:cat>
          <c:val>
            <c:numRef>
              <c:f>'Headcount &amp; FTE History'!$E$26:$E$34</c:f>
              <c:numCache>
                <c:formatCode>General</c:formatCode>
                <c:ptCount val="9"/>
                <c:pt idx="0" formatCode="0">
                  <c:v>2476</c:v>
                </c:pt>
                <c:pt idx="2" formatCode="0">
                  <c:v>2691</c:v>
                </c:pt>
                <c:pt idx="4" formatCode="0">
                  <c:v>2846</c:v>
                </c:pt>
                <c:pt idx="6" formatCode="0">
                  <c:v>2849</c:v>
                </c:pt>
                <c:pt idx="8" formatCode="0">
                  <c:v>2780</c:v>
                </c:pt>
              </c:numCache>
            </c:numRef>
          </c:val>
        </c:ser>
        <c:ser>
          <c:idx val="5"/>
          <c:order val="1"/>
          <c:tx>
            <c:strRef>
              <c:f>'Headcount &amp; FTE History'!$H$23:$H$25</c:f>
              <c:strCache>
                <c:ptCount val="3"/>
                <c:pt idx="0">
                  <c:v>FTE</c:v>
                </c:pt>
                <c:pt idx="1">
                  <c:v>TOTAL</c:v>
                </c:pt>
              </c:strCache>
            </c:strRef>
          </c:tx>
          <c:spPr>
            <a:pattFill prst="wdUpDiag">
              <a:fgClr>
                <a:srgbClr val="333333"/>
              </a:fgClr>
              <a:bgClr>
                <a:srgbClr val="FFFFFF"/>
              </a:bgClr>
            </a:pattFill>
            <a:ln w="12700">
              <a:solidFill>
                <a:srgbClr val="000000"/>
              </a:solidFill>
              <a:prstDash val="solid"/>
            </a:ln>
          </c:spPr>
          <c:invertIfNegative val="0"/>
          <c:dLbls>
            <c:spPr>
              <a:noFill/>
              <a:ln w="25400">
                <a:noFill/>
              </a:ln>
            </c:spPr>
            <c:txPr>
              <a:bodyPr rot="-5400000" vert="horz"/>
              <a:lstStyle/>
              <a:p>
                <a:pPr algn="ctr">
                  <a:defRPr sz="600" b="1"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trendline>
            <c:spPr>
              <a:ln w="12700">
                <a:solidFill>
                  <a:srgbClr val="000000"/>
                </a:solidFill>
                <a:prstDash val="solid"/>
              </a:ln>
            </c:spPr>
            <c:trendlineType val="log"/>
            <c:dispRSqr val="0"/>
            <c:dispEq val="0"/>
          </c:trendline>
          <c:cat>
            <c:numRef>
              <c:f>'Headcount &amp; FTE History'!$B$26:$B$34</c:f>
              <c:numCache>
                <c:formatCode>General</c:formatCode>
                <c:ptCount val="9"/>
                <c:pt idx="0">
                  <c:v>2009</c:v>
                </c:pt>
                <c:pt idx="2">
                  <c:v>2010</c:v>
                </c:pt>
                <c:pt idx="4">
                  <c:v>2011</c:v>
                </c:pt>
                <c:pt idx="6">
                  <c:v>2012</c:v>
                </c:pt>
                <c:pt idx="8">
                  <c:v>2013</c:v>
                </c:pt>
              </c:numCache>
            </c:numRef>
          </c:cat>
          <c:val>
            <c:numRef>
              <c:f>'Headcount &amp; FTE History'!$H$26:$H$34</c:f>
              <c:numCache>
                <c:formatCode>General</c:formatCode>
                <c:ptCount val="9"/>
                <c:pt idx="0" formatCode="0">
                  <c:v>2231.6000000000004</c:v>
                </c:pt>
                <c:pt idx="2" formatCode="0">
                  <c:v>2483.9</c:v>
                </c:pt>
                <c:pt idx="4" formatCode="0">
                  <c:v>2616.1999999999998</c:v>
                </c:pt>
                <c:pt idx="6" formatCode="0">
                  <c:v>2653</c:v>
                </c:pt>
                <c:pt idx="8" formatCode="0">
                  <c:v>2591</c:v>
                </c:pt>
              </c:numCache>
            </c:numRef>
          </c:val>
        </c:ser>
        <c:dLbls>
          <c:showLegendKey val="0"/>
          <c:showVal val="0"/>
          <c:showCatName val="0"/>
          <c:showSerName val="0"/>
          <c:showPercent val="0"/>
          <c:showBubbleSize val="0"/>
        </c:dLbls>
        <c:gapWidth val="0"/>
        <c:axId val="469007144"/>
        <c:axId val="469007536"/>
      </c:barChart>
      <c:catAx>
        <c:axId val="469007144"/>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Spring of...</a:t>
                </a:r>
              </a:p>
            </c:rich>
          </c:tx>
          <c:layout>
            <c:manualLayout>
              <c:xMode val="edge"/>
              <c:yMode val="edge"/>
              <c:x val="0.42133445319335266"/>
              <c:y val="0.88207547169811873"/>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69007536"/>
        <c:crosses val="autoZero"/>
        <c:auto val="0"/>
        <c:lblAlgn val="ctr"/>
        <c:lblOffset val="100"/>
        <c:tickLblSkip val="1"/>
        <c:tickMarkSkip val="1"/>
        <c:noMultiLvlLbl val="0"/>
      </c:catAx>
      <c:valAx>
        <c:axId val="469007536"/>
        <c:scaling>
          <c:orientation val="minMax"/>
        </c:scaling>
        <c:delete val="0"/>
        <c:axPos val="l"/>
        <c:majorGridlines>
          <c:spPr>
            <a:ln w="3175">
              <a:solidFill>
                <a:srgbClr val="000000"/>
              </a:solidFill>
              <a:prstDash val="solid"/>
            </a:ln>
          </c:spPr>
        </c:majorGridlines>
        <c:numFmt formatCode="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69007144"/>
        <c:crosses val="autoZero"/>
        <c:crossBetween val="between"/>
      </c:valAx>
      <c:spPr>
        <a:noFill/>
        <a:ln w="12700">
          <a:solidFill>
            <a:srgbClr val="C0C0C0"/>
          </a:solidFill>
          <a:prstDash val="solid"/>
        </a:ln>
      </c:spPr>
    </c:plotArea>
    <c:legend>
      <c:legendPos val="r"/>
      <c:legendEntry>
        <c:idx val="2"/>
        <c:delete val="1"/>
      </c:legendEntry>
      <c:legendEntry>
        <c:idx val="3"/>
        <c:delete val="1"/>
      </c:legendEntry>
      <c:layout>
        <c:manualLayout>
          <c:xMode val="edge"/>
          <c:yMode val="edge"/>
          <c:x val="0.65815340967496561"/>
          <c:y val="0.84905660377358971"/>
          <c:w val="0.30984916702644544"/>
          <c:h val="0.12735849056603901"/>
        </c:manualLayout>
      </c:layout>
      <c:overlay val="0"/>
      <c:spPr>
        <a:solidFill>
          <a:srgbClr val="FFFFFF"/>
        </a:solidFill>
        <a:ln w="25400">
          <a:noFill/>
        </a:ln>
      </c:spPr>
      <c:txPr>
        <a:bodyPr/>
        <a:lstStyle/>
        <a:p>
          <a:pPr>
            <a:defRPr sz="5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377" r="0.75000000000000377" t="1" header="0.5" footer="0.5"/>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66844919786249"/>
          <c:y val="0.12796238142953453"/>
          <c:w val="0.75401069518716579"/>
          <c:h val="0.61137582238555599"/>
        </c:manualLayout>
      </c:layout>
      <c:barChart>
        <c:barDir val="col"/>
        <c:grouping val="clustered"/>
        <c:varyColors val="0"/>
        <c:ser>
          <c:idx val="2"/>
          <c:order val="0"/>
          <c:tx>
            <c:strRef>
              <c:f>'Headcount &amp; FTE History'!$E$3:$E$5</c:f>
              <c:strCache>
                <c:ptCount val="3"/>
                <c:pt idx="0">
                  <c:v>HEADCOUNT</c:v>
                </c:pt>
                <c:pt idx="1">
                  <c:v>TOTAL</c:v>
                </c:pt>
              </c:strCache>
            </c:strRef>
          </c:tx>
          <c:spPr>
            <a:solidFill>
              <a:srgbClr val="C0C0C0"/>
            </a:solidFill>
            <a:ln w="12700">
              <a:solidFill>
                <a:srgbClr val="000000"/>
              </a:solidFill>
              <a:prstDash val="solid"/>
            </a:ln>
          </c:spPr>
          <c:invertIfNegative val="0"/>
          <c:dLbls>
            <c:spPr>
              <a:noFill/>
              <a:ln w="25400">
                <a:noFill/>
              </a:ln>
            </c:spPr>
            <c:txPr>
              <a:bodyPr rot="-5400000" vert="horz"/>
              <a:lstStyle/>
              <a:p>
                <a:pPr algn="ctr">
                  <a:defRPr sz="600" b="1"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trendline>
            <c:spPr>
              <a:ln w="12700">
                <a:solidFill>
                  <a:srgbClr val="000000"/>
                </a:solidFill>
                <a:prstDash val="solid"/>
              </a:ln>
            </c:spPr>
            <c:trendlineType val="log"/>
            <c:dispRSqr val="0"/>
            <c:dispEq val="0"/>
          </c:trendline>
          <c:cat>
            <c:numRef>
              <c:f>'Headcount &amp; FTE History'!$B$8:$B$16</c:f>
              <c:numCache>
                <c:formatCode>General</c:formatCode>
                <c:ptCount val="9"/>
                <c:pt idx="0">
                  <c:v>2008</c:v>
                </c:pt>
                <c:pt idx="2">
                  <c:v>2009</c:v>
                </c:pt>
                <c:pt idx="4">
                  <c:v>2010</c:v>
                </c:pt>
                <c:pt idx="6">
                  <c:v>2011</c:v>
                </c:pt>
                <c:pt idx="8">
                  <c:v>2012</c:v>
                </c:pt>
              </c:numCache>
            </c:numRef>
          </c:cat>
          <c:val>
            <c:numRef>
              <c:f>'Headcount &amp; FTE History'!$E$8:$E$16</c:f>
              <c:numCache>
                <c:formatCode>General</c:formatCode>
                <c:ptCount val="9"/>
                <c:pt idx="0" formatCode="0">
                  <c:v>2614</c:v>
                </c:pt>
                <c:pt idx="2" formatCode="0">
                  <c:v>2838</c:v>
                </c:pt>
                <c:pt idx="4" formatCode="0">
                  <c:v>3060</c:v>
                </c:pt>
                <c:pt idx="6" formatCode="0">
                  <c:v>3069</c:v>
                </c:pt>
                <c:pt idx="8" formatCode="0">
                  <c:v>3049</c:v>
                </c:pt>
              </c:numCache>
            </c:numRef>
          </c:val>
        </c:ser>
        <c:ser>
          <c:idx val="5"/>
          <c:order val="1"/>
          <c:tx>
            <c:strRef>
              <c:f>'Headcount &amp; FTE History'!$H$3:$H$5</c:f>
              <c:strCache>
                <c:ptCount val="3"/>
                <c:pt idx="0">
                  <c:v>FTE</c:v>
                </c:pt>
                <c:pt idx="1">
                  <c:v>TOTAL</c:v>
                </c:pt>
              </c:strCache>
            </c:strRef>
          </c:tx>
          <c:spPr>
            <a:pattFill prst="wdUpDiag">
              <a:fgClr>
                <a:srgbClr val="000000"/>
              </a:fgClr>
              <a:bgClr>
                <a:srgbClr val="FFFFFF"/>
              </a:bgClr>
            </a:pattFill>
            <a:ln w="12700">
              <a:solidFill>
                <a:srgbClr val="000000"/>
              </a:solidFill>
              <a:prstDash val="solid"/>
            </a:ln>
          </c:spPr>
          <c:invertIfNegative val="0"/>
          <c:dLbls>
            <c:spPr>
              <a:noFill/>
              <a:ln w="25400">
                <a:noFill/>
              </a:ln>
            </c:spPr>
            <c:txPr>
              <a:bodyPr rot="-5400000" vert="horz"/>
              <a:lstStyle/>
              <a:p>
                <a:pPr algn="ctr">
                  <a:defRPr sz="600" b="1"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trendline>
            <c:spPr>
              <a:ln w="12700">
                <a:solidFill>
                  <a:srgbClr val="000000"/>
                </a:solidFill>
                <a:prstDash val="solid"/>
              </a:ln>
            </c:spPr>
            <c:trendlineType val="log"/>
            <c:dispRSqr val="0"/>
            <c:dispEq val="0"/>
          </c:trendline>
          <c:cat>
            <c:numRef>
              <c:f>'Headcount &amp; FTE History'!$B$8:$B$16</c:f>
              <c:numCache>
                <c:formatCode>General</c:formatCode>
                <c:ptCount val="9"/>
                <c:pt idx="0">
                  <c:v>2008</c:v>
                </c:pt>
                <c:pt idx="2">
                  <c:v>2009</c:v>
                </c:pt>
                <c:pt idx="4">
                  <c:v>2010</c:v>
                </c:pt>
                <c:pt idx="6">
                  <c:v>2011</c:v>
                </c:pt>
                <c:pt idx="8">
                  <c:v>2012</c:v>
                </c:pt>
              </c:numCache>
            </c:numRef>
          </c:cat>
          <c:val>
            <c:numRef>
              <c:f>'Headcount &amp; FTE History'!$H$8:$H$16</c:f>
              <c:numCache>
                <c:formatCode>General</c:formatCode>
                <c:ptCount val="9"/>
                <c:pt idx="0" formatCode="0">
                  <c:v>2377</c:v>
                </c:pt>
                <c:pt idx="2" formatCode="0">
                  <c:v>2645.9</c:v>
                </c:pt>
                <c:pt idx="4" formatCode="0">
                  <c:v>2846.8</c:v>
                </c:pt>
                <c:pt idx="6" formatCode="0">
                  <c:v>2841.9</c:v>
                </c:pt>
                <c:pt idx="8" formatCode="0">
                  <c:v>2817.5</c:v>
                </c:pt>
              </c:numCache>
            </c:numRef>
          </c:val>
        </c:ser>
        <c:dLbls>
          <c:showLegendKey val="0"/>
          <c:showVal val="0"/>
          <c:showCatName val="0"/>
          <c:showSerName val="0"/>
          <c:showPercent val="0"/>
          <c:showBubbleSize val="0"/>
        </c:dLbls>
        <c:gapWidth val="0"/>
        <c:axId val="469008320"/>
        <c:axId val="469008712"/>
      </c:barChart>
      <c:catAx>
        <c:axId val="469008320"/>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Fall of...</a:t>
                </a:r>
              </a:p>
            </c:rich>
          </c:tx>
          <c:layout>
            <c:manualLayout>
              <c:xMode val="edge"/>
              <c:yMode val="edge"/>
              <c:x val="0.44385026737968347"/>
              <c:y val="0.88151857795026145"/>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69008712"/>
        <c:crosses val="autoZero"/>
        <c:auto val="0"/>
        <c:lblAlgn val="ctr"/>
        <c:lblOffset val="100"/>
        <c:tickLblSkip val="1"/>
        <c:tickMarkSkip val="1"/>
        <c:noMultiLvlLbl val="0"/>
      </c:catAx>
      <c:valAx>
        <c:axId val="469008712"/>
        <c:scaling>
          <c:orientation val="minMax"/>
          <c:max val="3500"/>
        </c:scaling>
        <c:delete val="0"/>
        <c:axPos val="l"/>
        <c:majorGridlines>
          <c:spPr>
            <a:ln w="3175">
              <a:solidFill>
                <a:srgbClr val="000000"/>
              </a:solidFill>
              <a:prstDash val="solid"/>
            </a:ln>
          </c:spPr>
        </c:majorGridlines>
        <c:numFmt formatCode="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69008320"/>
        <c:crosses val="autoZero"/>
        <c:crossBetween val="between"/>
      </c:valAx>
      <c:spPr>
        <a:noFill/>
        <a:ln w="12700">
          <a:solidFill>
            <a:srgbClr val="C0C0C0"/>
          </a:solidFill>
          <a:prstDash val="solid"/>
        </a:ln>
      </c:spPr>
    </c:plotArea>
    <c:legend>
      <c:legendPos val="r"/>
      <c:legendEntry>
        <c:idx val="2"/>
        <c:delete val="1"/>
      </c:legendEntry>
      <c:legendEntry>
        <c:idx val="3"/>
        <c:delete val="1"/>
      </c:legendEntry>
      <c:layout>
        <c:manualLayout>
          <c:xMode val="edge"/>
          <c:yMode val="edge"/>
          <c:x val="0.66325831318329298"/>
          <c:y val="0.85308255899291718"/>
          <c:w val="0.30732993021541599"/>
          <c:h val="0.1279625828761943"/>
        </c:manualLayout>
      </c:layout>
      <c:overlay val="0"/>
      <c:spPr>
        <a:solidFill>
          <a:srgbClr val="FFFFFF"/>
        </a:solidFill>
        <a:ln w="25400">
          <a:noFill/>
        </a:ln>
      </c:spPr>
      <c:txPr>
        <a:bodyPr/>
        <a:lstStyle/>
        <a:p>
          <a:pPr>
            <a:defRPr sz="5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377" r="0.75000000000000377" t="1" header="0.5" footer="0.5"/>
    <c:pageSetup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686507973416"/>
          <c:y val="0.12676056338028169"/>
          <c:w val="0.86476351332499179"/>
          <c:h val="0.62676056338028174"/>
        </c:manualLayout>
      </c:layout>
      <c:barChart>
        <c:barDir val="col"/>
        <c:grouping val="clustered"/>
        <c:varyColors val="0"/>
        <c:ser>
          <c:idx val="2"/>
          <c:order val="0"/>
          <c:tx>
            <c:strRef>
              <c:f>'Summer Credit Hour Production'!$D$4:$D$6</c:f>
              <c:strCache>
                <c:ptCount val="3"/>
                <c:pt idx="0">
                  <c:v>HEADCOUNT</c:v>
                </c:pt>
                <c:pt idx="1">
                  <c:v>TOTAL</c:v>
                </c:pt>
              </c:strCache>
            </c:strRef>
          </c:tx>
          <c:spPr>
            <a:solidFill>
              <a:srgbClr val="333333"/>
            </a:solidFill>
            <a:ln w="12700">
              <a:solidFill>
                <a:srgbClr val="000000"/>
              </a:solidFill>
              <a:prstDash val="solid"/>
            </a:ln>
          </c:spPr>
          <c:invertIfNegative val="0"/>
          <c:dLbls>
            <c:spPr>
              <a:noFill/>
              <a:ln w="25400">
                <a:noFill/>
              </a:ln>
            </c:spPr>
            <c:txPr>
              <a:bodyPr rot="-5400000" vert="horz"/>
              <a:lstStyle/>
              <a:p>
                <a:pPr algn="ct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trendline>
            <c:spPr>
              <a:ln w="25400">
                <a:solidFill>
                  <a:srgbClr val="000000"/>
                </a:solidFill>
                <a:prstDash val="solid"/>
              </a:ln>
            </c:spPr>
            <c:trendlineType val="exp"/>
            <c:dispRSqr val="0"/>
            <c:dispEq val="0"/>
          </c:trendline>
          <c:cat>
            <c:numRef>
              <c:f>'Summer Credit Hour Production'!$A$7:$A$15</c:f>
              <c:numCache>
                <c:formatCode>General</c:formatCode>
                <c:ptCount val="9"/>
                <c:pt idx="0">
                  <c:v>2009</c:v>
                </c:pt>
                <c:pt idx="2">
                  <c:v>2010</c:v>
                </c:pt>
                <c:pt idx="4">
                  <c:v>2011</c:v>
                </c:pt>
                <c:pt idx="6">
                  <c:v>2012</c:v>
                </c:pt>
                <c:pt idx="8">
                  <c:v>2013</c:v>
                </c:pt>
              </c:numCache>
            </c:numRef>
          </c:cat>
          <c:val>
            <c:numRef>
              <c:f>'Summer Credit Hour Production'!$D$7:$D$15</c:f>
              <c:numCache>
                <c:formatCode>General</c:formatCode>
                <c:ptCount val="9"/>
                <c:pt idx="0">
                  <c:v>962</c:v>
                </c:pt>
                <c:pt idx="2">
                  <c:v>1014</c:v>
                </c:pt>
                <c:pt idx="4">
                  <c:v>1014</c:v>
                </c:pt>
                <c:pt idx="6">
                  <c:v>981</c:v>
                </c:pt>
                <c:pt idx="8">
                  <c:v>904</c:v>
                </c:pt>
              </c:numCache>
            </c:numRef>
          </c:val>
        </c:ser>
        <c:ser>
          <c:idx val="5"/>
          <c:order val="1"/>
          <c:tx>
            <c:strRef>
              <c:f>'Summer Credit Hour Production'!$G$4:$G$6</c:f>
              <c:strCache>
                <c:ptCount val="3"/>
                <c:pt idx="0">
                  <c:v>CREDIT HOUR PRODUCTION</c:v>
                </c:pt>
                <c:pt idx="1">
                  <c:v>TOTAL</c:v>
                </c:pt>
              </c:strCache>
            </c:strRef>
          </c:tx>
          <c:spPr>
            <a:pattFill prst="wdUpDiag">
              <a:fgClr>
                <a:srgbClr val="000000"/>
              </a:fgClr>
              <a:bgClr>
                <a:srgbClr val="FFFFFF"/>
              </a:bgClr>
            </a:pattFill>
            <a:ln w="12700">
              <a:solidFill>
                <a:srgbClr val="000000"/>
              </a:solidFill>
              <a:prstDash val="solid"/>
            </a:ln>
          </c:spPr>
          <c:invertIfNegative val="0"/>
          <c:dLbls>
            <c:spPr>
              <a:noFill/>
              <a:ln w="25400">
                <a:noFill/>
              </a:ln>
            </c:spPr>
            <c:txPr>
              <a:bodyPr rot="-5400000" vert="horz"/>
              <a:lstStyle/>
              <a:p>
                <a:pPr algn="ct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trendline>
            <c:spPr>
              <a:ln w="25400">
                <a:solidFill>
                  <a:srgbClr val="000000"/>
                </a:solidFill>
                <a:prstDash val="solid"/>
              </a:ln>
            </c:spPr>
            <c:trendlineType val="exp"/>
            <c:dispRSqr val="0"/>
            <c:dispEq val="0"/>
          </c:trendline>
          <c:cat>
            <c:numRef>
              <c:f>'Summer Credit Hour Production'!$A$7:$A$15</c:f>
              <c:numCache>
                <c:formatCode>General</c:formatCode>
                <c:ptCount val="9"/>
                <c:pt idx="0">
                  <c:v>2009</c:v>
                </c:pt>
                <c:pt idx="2">
                  <c:v>2010</c:v>
                </c:pt>
                <c:pt idx="4">
                  <c:v>2011</c:v>
                </c:pt>
                <c:pt idx="6">
                  <c:v>2012</c:v>
                </c:pt>
                <c:pt idx="8">
                  <c:v>2013</c:v>
                </c:pt>
              </c:numCache>
            </c:numRef>
          </c:cat>
          <c:val>
            <c:numRef>
              <c:f>'Summer Credit Hour Production'!$G$7:$G$15</c:f>
              <c:numCache>
                <c:formatCode>0.0</c:formatCode>
                <c:ptCount val="9"/>
                <c:pt idx="0">
                  <c:v>4688</c:v>
                </c:pt>
                <c:pt idx="2">
                  <c:v>5157</c:v>
                </c:pt>
                <c:pt idx="4">
                  <c:v>5181</c:v>
                </c:pt>
                <c:pt idx="6">
                  <c:v>5464</c:v>
                </c:pt>
                <c:pt idx="8">
                  <c:v>4815</c:v>
                </c:pt>
              </c:numCache>
            </c:numRef>
          </c:val>
        </c:ser>
        <c:dLbls>
          <c:showLegendKey val="0"/>
          <c:showVal val="0"/>
          <c:showCatName val="0"/>
          <c:showSerName val="0"/>
          <c:showPercent val="0"/>
          <c:showBubbleSize val="0"/>
        </c:dLbls>
        <c:gapWidth val="0"/>
        <c:axId val="469009496"/>
        <c:axId val="469009888"/>
      </c:barChart>
      <c:catAx>
        <c:axId val="4690094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469009888"/>
        <c:crosses val="autoZero"/>
        <c:auto val="1"/>
        <c:lblAlgn val="ctr"/>
        <c:lblOffset val="100"/>
        <c:tickLblSkip val="1"/>
        <c:tickMarkSkip val="1"/>
        <c:noMultiLvlLbl val="0"/>
      </c:catAx>
      <c:valAx>
        <c:axId val="469009888"/>
        <c:scaling>
          <c:orientation val="minMax"/>
          <c:max val="7000"/>
        </c:scaling>
        <c:delete val="0"/>
        <c:axPos val="l"/>
        <c:majorGridlines>
          <c:spPr>
            <a:ln w="12700">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469009496"/>
        <c:crosses val="autoZero"/>
        <c:crossBetween val="between"/>
      </c:valAx>
      <c:spPr>
        <a:solidFill>
          <a:srgbClr val="FFFFFF"/>
        </a:solidFill>
        <a:ln w="12700">
          <a:solidFill>
            <a:srgbClr val="808080"/>
          </a:solidFill>
          <a:prstDash val="solid"/>
        </a:ln>
      </c:spPr>
    </c:plotArea>
    <c:legend>
      <c:legendPos val="b"/>
      <c:legendEntry>
        <c:idx val="2"/>
        <c:delete val="1"/>
      </c:legendEntry>
      <c:legendEntry>
        <c:idx val="3"/>
        <c:delete val="1"/>
      </c:legendEntry>
      <c:layout>
        <c:manualLayout>
          <c:xMode val="edge"/>
          <c:yMode val="edge"/>
          <c:x val="0.1657742000999875"/>
          <c:y val="0.90492957746479519"/>
          <c:w val="0.74960415104361966"/>
          <c:h val="7.0422535211267623E-2"/>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25400">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377" r="0.75000000000000377" t="1" header="0.5" footer="0.5"/>
    <c:pageSetup orientation="landscape"/>
  </c:printSettings>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55.bin"/></Relationships>
</file>

<file path=xl/chartsheets/sheet1.xml><?xml version="1.0" encoding="utf-8"?>
<chartsheet xmlns="http://schemas.openxmlformats.org/spreadsheetml/2006/main" xmlns:r="http://schemas.openxmlformats.org/officeDocument/2006/relationships">
  <sheetPr/>
  <sheetViews>
    <sheetView workbookViewId="0"/>
  </sheetViews>
  <pageMargins left="0.75" right="0.75" top="1" bottom="1" header="0.5" footer="0.5"/>
  <pageSetup orientation="landscape" r:id="rId1"/>
  <headerFooter alignWithMargins="0">
    <oddFooter>&amp;R&amp;8Source: Office of the Budget Director</oddFooter>
  </headerFooter>
  <drawing r:id="rId2"/>
</chartsheet>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9.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0.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0</xdr:col>
      <xdr:colOff>600075</xdr:colOff>
      <xdr:row>2</xdr:row>
      <xdr:rowOff>9525</xdr:rowOff>
    </xdr:from>
    <xdr:to>
      <xdr:col>12</xdr:col>
      <xdr:colOff>19050</xdr:colOff>
      <xdr:row>54</xdr:row>
      <xdr:rowOff>85725</xdr:rowOff>
    </xdr:to>
    <xdr:pic>
      <xdr:nvPicPr>
        <xdr:cNvPr id="17960556" name="Picture 123" descr="Report Card2011"/>
        <xdr:cNvPicPr>
          <a:picLocks noChangeAspect="1" noChangeArrowheads="1"/>
        </xdr:cNvPicPr>
      </xdr:nvPicPr>
      <xdr:blipFill>
        <a:blip xmlns:r="http://schemas.openxmlformats.org/officeDocument/2006/relationships" r:embed="rId1" cstate="print"/>
        <a:srcRect/>
        <a:stretch>
          <a:fillRect/>
        </a:stretch>
      </xdr:blipFill>
      <xdr:spPr bwMode="auto">
        <a:xfrm>
          <a:off x="600075" y="376238"/>
          <a:ext cx="6724650" cy="8743950"/>
        </a:xfrm>
        <a:prstGeom prst="rect">
          <a:avLst/>
        </a:prstGeom>
        <a:noFill/>
        <a:ln w="6350">
          <a:solidFill>
            <a:srgbClr val="000000"/>
          </a:solid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27</xdr:row>
      <xdr:rowOff>105154</xdr:rowOff>
    </xdr:from>
    <xdr:to>
      <xdr:col>12</xdr:col>
      <xdr:colOff>9525</xdr:colOff>
      <xdr:row>67</xdr:row>
      <xdr:rowOff>42898</xdr:rowOff>
    </xdr:to>
    <xdr:graphicFrame macro="">
      <xdr:nvGraphicFramePr>
        <xdr:cNvPr id="17392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27</xdr:row>
      <xdr:rowOff>142875</xdr:rowOff>
    </xdr:from>
    <xdr:to>
      <xdr:col>12</xdr:col>
      <xdr:colOff>9525</xdr:colOff>
      <xdr:row>59</xdr:row>
      <xdr:rowOff>19050</xdr:rowOff>
    </xdr:to>
    <xdr:graphicFrame macro="">
      <xdr:nvGraphicFramePr>
        <xdr:cNvPr id="21693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18</xdr:row>
      <xdr:rowOff>0</xdr:rowOff>
    </xdr:from>
    <xdr:to>
      <xdr:col>8</xdr:col>
      <xdr:colOff>342900</xdr:colOff>
      <xdr:row>35</xdr:row>
      <xdr:rowOff>85725</xdr:rowOff>
    </xdr:to>
    <xdr:graphicFrame macro="">
      <xdr:nvGraphicFramePr>
        <xdr:cNvPr id="1396090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37</xdr:row>
      <xdr:rowOff>28575</xdr:rowOff>
    </xdr:from>
    <xdr:to>
      <xdr:col>8</xdr:col>
      <xdr:colOff>352425</xdr:colOff>
      <xdr:row>56</xdr:row>
      <xdr:rowOff>66675</xdr:rowOff>
    </xdr:to>
    <xdr:graphicFrame macro="">
      <xdr:nvGraphicFramePr>
        <xdr:cNvPr id="1396090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12</xdr:col>
      <xdr:colOff>0</xdr:colOff>
      <xdr:row>2</xdr:row>
      <xdr:rowOff>0</xdr:rowOff>
    </xdr:from>
    <xdr:to>
      <xdr:col>19</xdr:col>
      <xdr:colOff>0</xdr:colOff>
      <xdr:row>14</xdr:row>
      <xdr:rowOff>0</xdr:rowOff>
    </xdr:to>
    <xdr:graphicFrame macro="">
      <xdr:nvGraphicFramePr>
        <xdr:cNvPr id="13344500"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18</xdr:row>
      <xdr:rowOff>0</xdr:rowOff>
    </xdr:from>
    <xdr:to>
      <xdr:col>19</xdr:col>
      <xdr:colOff>0</xdr:colOff>
      <xdr:row>30</xdr:row>
      <xdr:rowOff>0</xdr:rowOff>
    </xdr:to>
    <xdr:graphicFrame macro="">
      <xdr:nvGraphicFramePr>
        <xdr:cNvPr id="13344501"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9525</xdr:colOff>
      <xdr:row>17</xdr:row>
      <xdr:rowOff>9525</xdr:rowOff>
    </xdr:from>
    <xdr:to>
      <xdr:col>5</xdr:col>
      <xdr:colOff>9525</xdr:colOff>
      <xdr:row>34</xdr:row>
      <xdr:rowOff>38100</xdr:rowOff>
    </xdr:to>
    <xdr:graphicFrame macro="">
      <xdr:nvGraphicFramePr>
        <xdr:cNvPr id="14320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16</xdr:row>
      <xdr:rowOff>0</xdr:rowOff>
    </xdr:from>
    <xdr:to>
      <xdr:col>10</xdr:col>
      <xdr:colOff>0</xdr:colOff>
      <xdr:row>36</xdr:row>
      <xdr:rowOff>0</xdr:rowOff>
    </xdr:to>
    <xdr:graphicFrame macro="">
      <xdr:nvGraphicFramePr>
        <xdr:cNvPr id="1110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17</xdr:row>
      <xdr:rowOff>0</xdr:rowOff>
    </xdr:from>
    <xdr:to>
      <xdr:col>1</xdr:col>
      <xdr:colOff>619125</xdr:colOff>
      <xdr:row>17</xdr:row>
      <xdr:rowOff>0</xdr:rowOff>
    </xdr:to>
    <xdr:sp macro="" textlink="">
      <xdr:nvSpPr>
        <xdr:cNvPr id="2" name="Line 1"/>
        <xdr:cNvSpPr>
          <a:spLocks noChangeShapeType="1"/>
        </xdr:cNvSpPr>
      </xdr:nvSpPr>
      <xdr:spPr bwMode="auto">
        <a:xfrm>
          <a:off x="2446020" y="2476500"/>
          <a:ext cx="0" cy="0"/>
        </a:xfrm>
        <a:prstGeom prst="line">
          <a:avLst/>
        </a:prstGeom>
        <a:noFill/>
        <a:ln w="9525">
          <a:solidFill>
            <a:srgbClr val="000000"/>
          </a:solidFill>
          <a:round/>
          <a:headEnd/>
          <a:tailEnd/>
        </a:ln>
        <a:effectLst>
          <a:outerShdw dist="35921" dir="2700000" algn="ctr" rotWithShape="0">
            <a:srgbClr val="000000"/>
          </a:outerShdw>
        </a:effectLst>
      </xdr:spPr>
      <xdr:txBody>
        <a:bodyPr/>
        <a:lstStyle/>
        <a:p>
          <a:endParaRPr lang="en-US"/>
        </a:p>
      </xdr:txBody>
    </xdr:sp>
    <xdr:clientData/>
  </xdr:twoCellAnchor>
  <xdr:twoCellAnchor>
    <xdr:from>
      <xdr:col>2</xdr:col>
      <xdr:colOff>0</xdr:colOff>
      <xdr:row>17</xdr:row>
      <xdr:rowOff>0</xdr:rowOff>
    </xdr:from>
    <xdr:to>
      <xdr:col>2</xdr:col>
      <xdr:colOff>619125</xdr:colOff>
      <xdr:row>17</xdr:row>
      <xdr:rowOff>0</xdr:rowOff>
    </xdr:to>
    <xdr:sp macro="" textlink="">
      <xdr:nvSpPr>
        <xdr:cNvPr id="3" name="Line 2"/>
        <xdr:cNvSpPr>
          <a:spLocks noChangeShapeType="1"/>
        </xdr:cNvSpPr>
      </xdr:nvSpPr>
      <xdr:spPr bwMode="auto">
        <a:xfrm>
          <a:off x="2446020" y="2476500"/>
          <a:ext cx="0" cy="0"/>
        </a:xfrm>
        <a:prstGeom prst="line">
          <a:avLst/>
        </a:prstGeom>
        <a:noFill/>
        <a:ln w="9525">
          <a:solidFill>
            <a:srgbClr val="000000"/>
          </a:solidFill>
          <a:round/>
          <a:headEnd/>
          <a:tailEnd/>
        </a:ln>
        <a:effectLst>
          <a:outerShdw dist="35921" dir="2700000" algn="ctr" rotWithShape="0">
            <a:srgbClr val="000000"/>
          </a:outerShdw>
        </a:effectLst>
      </xdr:spPr>
      <xdr:txBody>
        <a:bodyPr/>
        <a:lstStyle/>
        <a:p>
          <a:endParaRPr lang="en-US"/>
        </a:p>
      </xdr:txBody>
    </xdr:sp>
    <xdr:clientData/>
  </xdr:twoCellAnchor>
  <xdr:twoCellAnchor>
    <xdr:from>
      <xdr:col>3</xdr:col>
      <xdr:colOff>0</xdr:colOff>
      <xdr:row>17</xdr:row>
      <xdr:rowOff>0</xdr:rowOff>
    </xdr:from>
    <xdr:to>
      <xdr:col>3</xdr:col>
      <xdr:colOff>0</xdr:colOff>
      <xdr:row>17</xdr:row>
      <xdr:rowOff>0</xdr:rowOff>
    </xdr:to>
    <xdr:sp macro="" textlink="">
      <xdr:nvSpPr>
        <xdr:cNvPr id="4" name="Line 3"/>
        <xdr:cNvSpPr>
          <a:spLocks noChangeShapeType="1"/>
        </xdr:cNvSpPr>
      </xdr:nvSpPr>
      <xdr:spPr bwMode="auto">
        <a:xfrm>
          <a:off x="2446020" y="2476500"/>
          <a:ext cx="0" cy="0"/>
        </a:xfrm>
        <a:prstGeom prst="line">
          <a:avLst/>
        </a:prstGeom>
        <a:noFill/>
        <a:ln w="9525">
          <a:solidFill>
            <a:srgbClr val="000000"/>
          </a:solidFill>
          <a:round/>
          <a:headEnd/>
          <a:tailEnd/>
        </a:ln>
        <a:effectLst>
          <a:outerShdw dist="35921" dir="2700000" algn="ctr" rotWithShape="0">
            <a:srgbClr val="000000"/>
          </a:outerShdw>
        </a:effectLst>
      </xdr:spPr>
      <xdr:txBody>
        <a:bodyPr/>
        <a:lstStyle/>
        <a:p>
          <a:endParaRPr lang="en-US"/>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9525</xdr:colOff>
      <xdr:row>15</xdr:row>
      <xdr:rowOff>9525</xdr:rowOff>
    </xdr:from>
    <xdr:to>
      <xdr:col>6</xdr:col>
      <xdr:colOff>76200</xdr:colOff>
      <xdr:row>33</xdr:row>
      <xdr:rowOff>9525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34</xdr:row>
      <xdr:rowOff>9525</xdr:rowOff>
    </xdr:from>
    <xdr:to>
      <xdr:col>6</xdr:col>
      <xdr:colOff>76200</xdr:colOff>
      <xdr:row>52</xdr:row>
      <xdr:rowOff>9525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53</xdr:row>
      <xdr:rowOff>9525</xdr:rowOff>
    </xdr:from>
    <xdr:to>
      <xdr:col>6</xdr:col>
      <xdr:colOff>76200</xdr:colOff>
      <xdr:row>71</xdr:row>
      <xdr:rowOff>9525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8.xml><?xml version="1.0" encoding="utf-8"?>
<xdr:wsDr xmlns:xdr="http://schemas.openxmlformats.org/drawingml/2006/spreadsheetDrawing" xmlns:a="http://schemas.openxmlformats.org/drawingml/2006/main">
  <xdr:absoluteAnchor>
    <xdr:pos x="0" y="0"/>
    <xdr:ext cx="8564880" cy="582168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9.xml><?xml version="1.0" encoding="utf-8"?>
<xdr:wsDr xmlns:xdr="http://schemas.openxmlformats.org/drawingml/2006/spreadsheetDrawing" xmlns:a="http://schemas.openxmlformats.org/drawingml/2006/main">
  <xdr:twoCellAnchor>
    <xdr:from>
      <xdr:col>0</xdr:col>
      <xdr:colOff>0</xdr:colOff>
      <xdr:row>18</xdr:row>
      <xdr:rowOff>0</xdr:rowOff>
    </xdr:from>
    <xdr:to>
      <xdr:col>8</xdr:col>
      <xdr:colOff>0</xdr:colOff>
      <xdr:row>35</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14</xdr:row>
      <xdr:rowOff>0</xdr:rowOff>
    </xdr:from>
    <xdr:to>
      <xdr:col>7</xdr:col>
      <xdr:colOff>9525</xdr:colOff>
      <xdr:row>35</xdr:row>
      <xdr:rowOff>57150</xdr:rowOff>
    </xdr:to>
    <xdr:graphicFrame macro="">
      <xdr:nvGraphicFramePr>
        <xdr:cNvPr id="25379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14</xdr:row>
      <xdr:rowOff>152400</xdr:rowOff>
    </xdr:from>
    <xdr:to>
      <xdr:col>6</xdr:col>
      <xdr:colOff>38100</xdr:colOff>
      <xdr:row>30</xdr:row>
      <xdr:rowOff>152400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15</xdr:row>
      <xdr:rowOff>9525</xdr:rowOff>
    </xdr:from>
    <xdr:to>
      <xdr:col>6</xdr:col>
      <xdr:colOff>0</xdr:colOff>
      <xdr:row>32</xdr:row>
      <xdr:rowOff>57150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8</xdr:row>
      <xdr:rowOff>17103</xdr:rowOff>
    </xdr:from>
    <xdr:to>
      <xdr:col>6</xdr:col>
      <xdr:colOff>20955</xdr:colOff>
      <xdr:row>25</xdr:row>
      <xdr:rowOff>108585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0</xdr:col>
      <xdr:colOff>19050</xdr:colOff>
      <xdr:row>36</xdr:row>
      <xdr:rowOff>95250</xdr:rowOff>
    </xdr:from>
    <xdr:to>
      <xdr:col>18</xdr:col>
      <xdr:colOff>0</xdr:colOff>
      <xdr:row>39</xdr:row>
      <xdr:rowOff>28575</xdr:rowOff>
    </xdr:to>
    <xdr:sp macro="" textlink="">
      <xdr:nvSpPr>
        <xdr:cNvPr id="244737" name="Text 1"/>
        <xdr:cNvSpPr txBox="1">
          <a:spLocks noChangeArrowheads="1"/>
        </xdr:cNvSpPr>
      </xdr:nvSpPr>
      <xdr:spPr bwMode="auto">
        <a:xfrm>
          <a:off x="19050" y="6286500"/>
          <a:ext cx="13439775" cy="41910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0" i="0" strike="noStrike">
              <a:solidFill>
                <a:srgbClr val="000000"/>
              </a:solidFill>
              <a:latin typeface="MS Sans Serif"/>
            </a:rPr>
            <a:t>Freshmen data is provided in accordance with the Clery Act (formerly known as the </a:t>
          </a:r>
        </a:p>
        <a:p>
          <a:pPr algn="ctr" rtl="0">
            <a:defRPr sz="1000"/>
          </a:pPr>
          <a:r>
            <a:rPr lang="en-US" sz="1000" b="0" i="0" strike="noStrike">
              <a:solidFill>
                <a:srgbClr val="000000"/>
              </a:solidFill>
              <a:latin typeface="MS Sans Serif"/>
            </a:rPr>
            <a:t>Student Right-to-Know and Campus Security Act).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15</xdr:row>
      <xdr:rowOff>0</xdr:rowOff>
    </xdr:from>
    <xdr:to>
      <xdr:col>11</xdr:col>
      <xdr:colOff>0</xdr:colOff>
      <xdr:row>33</xdr:row>
      <xdr:rowOff>0</xdr:rowOff>
    </xdr:to>
    <xdr:graphicFrame macro="">
      <xdr:nvGraphicFramePr>
        <xdr:cNvPr id="25584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0</xdr:col>
          <xdr:colOff>0</xdr:colOff>
          <xdr:row>34</xdr:row>
          <xdr:rowOff>0</xdr:rowOff>
        </xdr:from>
        <xdr:to>
          <xdr:col>10</xdr:col>
          <xdr:colOff>457200</xdr:colOff>
          <xdr:row>41</xdr:row>
          <xdr:rowOff>38100</xdr:rowOff>
        </xdr:to>
        <xdr:sp macro="" textlink="">
          <xdr:nvSpPr>
            <xdr:cNvPr id="254978" name="Object 2" hidden="1">
              <a:extLst>
                <a:ext uri="{63B3BB69-23CF-44E3-9099-C40C66FF867C}">
                  <a14:compatExt spid="_x0000_s254978"/>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0</xdr:colOff>
      <xdr:row>39</xdr:row>
      <xdr:rowOff>69273</xdr:rowOff>
    </xdr:from>
    <xdr:to>
      <xdr:col>11</xdr:col>
      <xdr:colOff>0</xdr:colOff>
      <xdr:row>59</xdr:row>
      <xdr:rowOff>17512</xdr:rowOff>
    </xdr:to>
    <xdr:graphicFrame macro="">
      <xdr:nvGraphicFramePr>
        <xdr:cNvPr id="25789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0</xdr:col>
          <xdr:colOff>7620</xdr:colOff>
          <xdr:row>59</xdr:row>
          <xdr:rowOff>160020</xdr:rowOff>
        </xdr:from>
        <xdr:to>
          <xdr:col>13</xdr:col>
          <xdr:colOff>502920</xdr:colOff>
          <xdr:row>65</xdr:row>
          <xdr:rowOff>30480</xdr:rowOff>
        </xdr:to>
        <xdr:sp macro="" textlink="">
          <xdr:nvSpPr>
            <xdr:cNvPr id="257026" name="Object 2" hidden="1">
              <a:extLst>
                <a:ext uri="{63B3BB69-23CF-44E3-9099-C40C66FF867C}">
                  <a14:compatExt spid="_x0000_s257026"/>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0</xdr:colOff>
      <xdr:row>15</xdr:row>
      <xdr:rowOff>38100</xdr:rowOff>
    </xdr:from>
    <xdr:to>
      <xdr:col>6</xdr:col>
      <xdr:colOff>1038225</xdr:colOff>
      <xdr:row>38</xdr:row>
      <xdr:rowOff>66675</xdr:rowOff>
    </xdr:to>
    <xdr:graphicFrame macro="">
      <xdr:nvGraphicFramePr>
        <xdr:cNvPr id="25993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15</xdr:row>
      <xdr:rowOff>0</xdr:rowOff>
    </xdr:from>
    <xdr:to>
      <xdr:col>2</xdr:col>
      <xdr:colOff>0</xdr:colOff>
      <xdr:row>15</xdr:row>
      <xdr:rowOff>0</xdr:rowOff>
    </xdr:to>
    <xdr:graphicFrame macro="">
      <xdr:nvGraphicFramePr>
        <xdr:cNvPr id="1395168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13</xdr:row>
      <xdr:rowOff>127001</xdr:rowOff>
    </xdr:from>
    <xdr:to>
      <xdr:col>21</xdr:col>
      <xdr:colOff>10583</xdr:colOff>
      <xdr:row>44</xdr:row>
      <xdr:rowOff>95251</xdr:rowOff>
    </xdr:to>
    <xdr:graphicFrame macro="">
      <xdr:nvGraphicFramePr>
        <xdr:cNvPr id="1395168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9</xdr:col>
      <xdr:colOff>9525</xdr:colOff>
      <xdr:row>22</xdr:row>
      <xdr:rowOff>0</xdr:rowOff>
    </xdr:from>
    <xdr:to>
      <xdr:col>17</xdr:col>
      <xdr:colOff>0</xdr:colOff>
      <xdr:row>34</xdr:row>
      <xdr:rowOff>0</xdr:rowOff>
    </xdr:to>
    <xdr:graphicFrame macro="">
      <xdr:nvGraphicFramePr>
        <xdr:cNvPr id="1392608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2</xdr:row>
      <xdr:rowOff>9525</xdr:rowOff>
    </xdr:from>
    <xdr:to>
      <xdr:col>16</xdr:col>
      <xdr:colOff>428625</xdr:colOff>
      <xdr:row>16</xdr:row>
      <xdr:rowOff>1</xdr:rowOff>
    </xdr:to>
    <xdr:graphicFrame macro="">
      <xdr:nvGraphicFramePr>
        <xdr:cNvPr id="1392608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17</xdr:row>
      <xdr:rowOff>9525</xdr:rowOff>
    </xdr:from>
    <xdr:to>
      <xdr:col>7</xdr:col>
      <xdr:colOff>0</xdr:colOff>
      <xdr:row>33</xdr:row>
      <xdr:rowOff>123825</xdr:rowOff>
    </xdr:to>
    <xdr:graphicFrame macro="">
      <xdr:nvGraphicFramePr>
        <xdr:cNvPr id="21488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27</xdr:row>
      <xdr:rowOff>28575</xdr:rowOff>
    </xdr:from>
    <xdr:to>
      <xdr:col>12</xdr:col>
      <xdr:colOff>0</xdr:colOff>
      <xdr:row>64</xdr:row>
      <xdr:rowOff>130321</xdr:rowOff>
    </xdr:to>
    <xdr:graphicFrame macro="">
      <xdr:nvGraphicFramePr>
        <xdr:cNvPr id="8893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lander.edu/Documents%20and%20Settings/mkirkpatrick/My%20Documents/2005-2006%20Fact%20Book/WEB%20VERSION%202005_2006%20FACT%20BOOK%20WORKING%20COPY.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Board of Trustees"/>
      <sheetName val="Executive Officers"/>
      <sheetName val="LU admin struct chart"/>
      <sheetName val="Freshmen Application History"/>
      <sheetName val="Freshmen by Gender"/>
      <sheetName val="Freshmen by Ethnic Origin"/>
      <sheetName val="Freshmen SAT 91-95"/>
      <sheetName val="Freshmen SAT 96-05"/>
      <sheetName val="first time freshmen by high sch"/>
      <sheetName val="Transfer Application History"/>
      <sheetName val="Transfers by Gender"/>
      <sheetName val="Transfers by Ethnic Origin"/>
      <sheetName val="Transfers by Institution"/>
      <sheetName val="Fall 2005 Headcount"/>
      <sheetName val="NEW Fall CHP by DISC"/>
      <sheetName val="NEW Fall FTE by DISC"/>
      <sheetName val="UG cr hrs per student"/>
      <sheetName val="Spring 2006 Headcount"/>
      <sheetName val="NEW Spring CHP by DISC"/>
      <sheetName val="NEW Spring FTE by DISC"/>
      <sheetName val="Headcount &amp; FTE History"/>
      <sheetName val="NEW Summer CHP by DISC"/>
      <sheetName val="NEW Summer FTE by DISC"/>
      <sheetName val="Summer Credit Hour Production"/>
      <sheetName val="Fall Headcount by Class"/>
      <sheetName val="Spring Headcount by Class"/>
      <sheetName val="Summer Headcount by Class"/>
      <sheetName val="New Fall college hdcnt by major"/>
      <sheetName val="Fal hdct by major 5 yr ave"/>
      <sheetName val="Spring college hdcnt by major"/>
      <sheetName val="Minor Headcount History"/>
      <sheetName val="New Summer hdnt by college"/>
      <sheetName val="Number of Online Course"/>
      <sheetName val="Average Age"/>
      <sheetName val="Fall 2005 by Age and Gend"/>
      <sheetName val="Black Enrollment History"/>
      <sheetName val="Country of Origin"/>
      <sheetName val="State of Origin"/>
      <sheetName val="SC Students by County"/>
      <sheetName val="In- &amp; Out-of-State Distribution"/>
      <sheetName val="New degrees conferred by colleg"/>
      <sheetName val="deg conferred 5 yr averages"/>
      <sheetName val="Minors Conferred"/>
      <sheetName val="Residency Halls Occupancy "/>
      <sheetName val="Library Statistics"/>
      <sheetName val="2005-2006 salary by major"/>
      <sheetName val="2005-2006 national salary avera"/>
      <sheetName val="results by major"/>
      <sheetName val="continuing education"/>
      <sheetName val="current employment status"/>
      <sheetName val="demographics"/>
      <sheetName val="Alumni by Country"/>
      <sheetName val="Alumni by State"/>
      <sheetName val="Alumni by County"/>
      <sheetName val="FTE Student-Faculty Ratio"/>
      <sheetName val="Fall Teaching Fac. by Div rank"/>
      <sheetName val="Faculty by Div,Tenure,Degree"/>
      <sheetName val="Faculty by Div,Ten,Dg-Chart"/>
      <sheetName val="Faculty by Rank and Gender"/>
      <sheetName val="Faculty Salaries by Rank"/>
      <sheetName val="FTE Employees"/>
      <sheetName val="Academic Fees"/>
      <sheetName val="Financial Aid Summary"/>
      <sheetName val="Financial Aid Graphs"/>
      <sheetName val="Revenues and Expenditures 04-05"/>
      <sheetName val="Facilities"/>
      <sheetName val="Graduation Rates (1996)"/>
      <sheetName val="Graduation Rates (1997)"/>
      <sheetName val="Graduation Rates (1998)"/>
      <sheetName val="Graduation Rates (1999)"/>
      <sheetName val="Graduation Rates 4 Yr Ave"/>
      <sheetName val="Freshmen Retention_Attrition"/>
      <sheetName val="Transfer Retention_Attrition"/>
    </sheetNames>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6.v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7.v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8.v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9.v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0.v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1.v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2.v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3.v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image" Target="../media/image2.emf"/><Relationship Id="rId4" Type="http://schemas.openxmlformats.org/officeDocument/2006/relationships/oleObject" Target="../embeddings/Microsoft_Word_97_-_2003_Document1.doc"/></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9.bin"/><Relationship Id="rId5" Type="http://schemas.openxmlformats.org/officeDocument/2006/relationships/image" Target="../media/image3.emf"/><Relationship Id="rId4" Type="http://schemas.openxmlformats.org/officeDocument/2006/relationships/oleObject" Target="../embeddings/Microsoft_Word_97_-_2003_Document2.doc"/></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W95"/>
  <sheetViews>
    <sheetView tabSelected="1" workbookViewId="0">
      <selection sqref="A1:K1"/>
    </sheetView>
  </sheetViews>
  <sheetFormatPr defaultColWidth="6.6640625" defaultRowHeight="13.2" x14ac:dyDescent="0.25"/>
  <cols>
    <col min="1" max="4" width="6.6640625" style="1" customWidth="1"/>
    <col min="5" max="5" width="7" style="1" customWidth="1"/>
    <col min="6" max="8" width="6.6640625" style="1" customWidth="1"/>
    <col min="9" max="9" width="7.33203125" style="4" customWidth="1"/>
    <col min="10" max="10" width="6.6640625" style="4" customWidth="1"/>
    <col min="11" max="11" width="22.6640625" style="1" customWidth="1"/>
    <col min="12" max="12" width="14.109375" style="1" customWidth="1"/>
    <col min="13" max="16384" width="6.6640625" style="1"/>
  </cols>
  <sheetData>
    <row r="1" spans="1:18" ht="21" x14ac:dyDescent="0.4">
      <c r="A1" s="1690" t="s">
        <v>1503</v>
      </c>
      <c r="B1" s="1690"/>
      <c r="C1" s="1690"/>
      <c r="D1" s="1690"/>
      <c r="E1" s="1690"/>
      <c r="F1" s="1690"/>
      <c r="G1" s="1690"/>
      <c r="H1" s="1690"/>
      <c r="I1" s="1690"/>
      <c r="J1" s="1690"/>
      <c r="K1" s="1690"/>
    </row>
    <row r="2" spans="1:18" ht="21" x14ac:dyDescent="0.4">
      <c r="A2" s="1690" t="s">
        <v>672</v>
      </c>
      <c r="B2" s="1690"/>
      <c r="C2" s="1690"/>
      <c r="D2" s="1690"/>
      <c r="E2" s="1690"/>
      <c r="F2" s="1690"/>
      <c r="G2" s="1690"/>
      <c r="H2" s="1690"/>
      <c r="I2" s="1690"/>
      <c r="J2" s="1690"/>
      <c r="K2" s="1690"/>
    </row>
    <row r="3" spans="1:18" ht="21" x14ac:dyDescent="0.4">
      <c r="A3" s="5"/>
      <c r="B3" s="6"/>
      <c r="C3" s="6"/>
      <c r="D3" s="6"/>
      <c r="E3" s="6"/>
      <c r="F3" s="6"/>
      <c r="G3" s="6"/>
      <c r="H3" s="6"/>
    </row>
    <row r="4" spans="1:18" ht="15" x14ac:dyDescent="0.25">
      <c r="A4" s="2"/>
      <c r="B4" s="2"/>
      <c r="C4" s="2"/>
      <c r="D4" s="2"/>
      <c r="E4" s="2"/>
      <c r="F4" s="2"/>
      <c r="G4" s="2"/>
      <c r="H4" s="2"/>
      <c r="I4" s="3"/>
      <c r="J4" s="3"/>
      <c r="K4" s="2"/>
      <c r="L4" s="441"/>
      <c r="M4" s="333"/>
      <c r="O4" s="333"/>
      <c r="P4" s="333"/>
      <c r="Q4" s="333"/>
      <c r="R4" s="333"/>
    </row>
    <row r="5" spans="1:18" ht="15.6" x14ac:dyDescent="0.3">
      <c r="A5" s="442" t="s">
        <v>673</v>
      </c>
      <c r="B5" s="442"/>
      <c r="C5" s="442"/>
      <c r="D5" s="2"/>
      <c r="E5" s="2"/>
      <c r="F5" s="2"/>
      <c r="G5" s="2"/>
      <c r="H5" s="2"/>
      <c r="I5" s="3"/>
      <c r="J5" s="3"/>
      <c r="K5" s="2"/>
      <c r="L5" s="2"/>
      <c r="M5" s="334"/>
      <c r="O5" s="334"/>
      <c r="P5" s="334"/>
      <c r="Q5" s="334"/>
    </row>
    <row r="6" spans="1:18" ht="15" x14ac:dyDescent="0.25">
      <c r="A6" s="2"/>
      <c r="B6" s="754" t="s">
        <v>674</v>
      </c>
      <c r="C6" s="754"/>
      <c r="D6" s="754"/>
      <c r="E6" s="2"/>
      <c r="F6" s="2"/>
      <c r="G6" s="2"/>
      <c r="H6" s="2"/>
      <c r="I6" s="3"/>
      <c r="J6" s="3"/>
      <c r="K6" s="2"/>
      <c r="L6" s="2"/>
    </row>
    <row r="7" spans="1:18" ht="15.6" x14ac:dyDescent="0.3">
      <c r="A7" s="2"/>
      <c r="B7" s="754" t="s">
        <v>675</v>
      </c>
      <c r="C7" s="754"/>
      <c r="D7" s="754"/>
      <c r="E7" s="2"/>
      <c r="F7" s="2"/>
      <c r="G7" s="2"/>
      <c r="H7" s="2"/>
      <c r="I7" s="3"/>
      <c r="J7" s="3"/>
      <c r="K7" s="2"/>
      <c r="L7" s="442"/>
      <c r="M7" s="342"/>
    </row>
    <row r="8" spans="1:18" ht="15" x14ac:dyDescent="0.25">
      <c r="A8" s="2"/>
      <c r="B8" s="754" t="s">
        <v>953</v>
      </c>
      <c r="C8" s="754"/>
      <c r="D8" s="754"/>
      <c r="E8" s="754"/>
      <c r="F8" s="2"/>
      <c r="G8" s="2"/>
      <c r="H8" s="2"/>
      <c r="I8" s="3"/>
      <c r="J8" s="3"/>
      <c r="K8" s="2"/>
      <c r="L8" s="2"/>
      <c r="M8" s="342"/>
    </row>
    <row r="9" spans="1:18" ht="15.6" x14ac:dyDescent="0.3">
      <c r="A9" s="442" t="s">
        <v>676</v>
      </c>
      <c r="B9" s="442"/>
      <c r="C9" s="2"/>
      <c r="D9" s="2"/>
      <c r="E9" s="2"/>
      <c r="F9" s="2"/>
      <c r="G9" s="2"/>
      <c r="H9" s="2"/>
      <c r="I9" s="3"/>
      <c r="J9" s="3"/>
      <c r="K9" s="2"/>
      <c r="L9" s="2"/>
    </row>
    <row r="10" spans="1:18" ht="15" x14ac:dyDescent="0.25">
      <c r="A10" s="2"/>
      <c r="B10" s="2" t="s">
        <v>677</v>
      </c>
      <c r="C10" s="2"/>
      <c r="D10" s="2"/>
      <c r="E10" s="2"/>
      <c r="F10" s="2"/>
      <c r="G10" s="2"/>
      <c r="H10" s="2"/>
      <c r="I10" s="3"/>
      <c r="J10" s="3"/>
      <c r="K10" s="2"/>
      <c r="L10" s="2"/>
    </row>
    <row r="11" spans="1:18" ht="15" x14ac:dyDescent="0.25">
      <c r="A11" s="2"/>
      <c r="B11" s="2"/>
      <c r="C11" s="754" t="s">
        <v>678</v>
      </c>
      <c r="D11" s="1424"/>
      <c r="E11" s="1424"/>
      <c r="F11" s="2"/>
      <c r="G11" s="2"/>
      <c r="H11" s="2"/>
      <c r="I11" s="3"/>
      <c r="J11" s="3"/>
      <c r="K11" s="2"/>
      <c r="L11" s="2"/>
    </row>
    <row r="12" spans="1:18" ht="15" x14ac:dyDescent="0.25">
      <c r="A12" s="2"/>
      <c r="B12" s="2"/>
      <c r="C12" s="754" t="s">
        <v>680</v>
      </c>
      <c r="D12" s="1424"/>
      <c r="E12" s="1424"/>
      <c r="F12" s="1424"/>
      <c r="G12" s="1424"/>
      <c r="H12" s="2"/>
      <c r="I12" s="3"/>
      <c r="J12" s="3"/>
      <c r="K12" s="2"/>
      <c r="L12" s="2"/>
    </row>
    <row r="13" spans="1:18" ht="15" x14ac:dyDescent="0.25">
      <c r="A13" s="2"/>
      <c r="B13" s="2"/>
      <c r="C13" s="754" t="s">
        <v>681</v>
      </c>
      <c r="D13" s="1424"/>
      <c r="E13" s="1424"/>
      <c r="F13" s="1424"/>
      <c r="G13" s="1424"/>
      <c r="H13" s="1424"/>
      <c r="I13" s="3"/>
      <c r="J13" s="3"/>
      <c r="K13" s="2"/>
      <c r="L13" s="2"/>
    </row>
    <row r="14" spans="1:18" ht="15" x14ac:dyDescent="0.25">
      <c r="A14" s="2"/>
      <c r="B14" s="2"/>
      <c r="C14" s="754" t="s">
        <v>471</v>
      </c>
      <c r="D14" s="754"/>
      <c r="E14" s="754"/>
      <c r="F14" s="754"/>
      <c r="G14" s="754"/>
      <c r="H14" s="754"/>
      <c r="I14" s="754"/>
      <c r="J14" s="754"/>
      <c r="K14" s="754"/>
      <c r="L14" s="2"/>
    </row>
    <row r="15" spans="1:18" ht="15" x14ac:dyDescent="0.25">
      <c r="A15" s="2"/>
      <c r="B15" s="2"/>
      <c r="C15" s="754" t="s">
        <v>1504</v>
      </c>
      <c r="D15" s="1424"/>
      <c r="E15" s="1424"/>
      <c r="F15" s="1424"/>
      <c r="G15" s="1424"/>
      <c r="H15" s="1424"/>
      <c r="I15" s="1424"/>
      <c r="J15" s="1424"/>
      <c r="K15" s="1424"/>
      <c r="L15" s="2"/>
    </row>
    <row r="16" spans="1:18" ht="15" x14ac:dyDescent="0.25">
      <c r="A16" s="2"/>
      <c r="B16" s="2"/>
      <c r="C16" s="754" t="s">
        <v>1245</v>
      </c>
      <c r="D16" s="754"/>
      <c r="E16" s="754"/>
      <c r="F16" s="754"/>
      <c r="G16" s="754"/>
      <c r="H16" s="754"/>
      <c r="I16" s="2"/>
      <c r="J16" s="2"/>
      <c r="K16" s="2"/>
      <c r="L16" s="2"/>
    </row>
    <row r="17" spans="1:12" ht="15" x14ac:dyDescent="0.25">
      <c r="A17" s="2"/>
      <c r="B17" s="2" t="s">
        <v>683</v>
      </c>
      <c r="C17" s="2"/>
      <c r="D17" s="2"/>
      <c r="E17" s="2"/>
      <c r="F17" s="2"/>
      <c r="G17" s="2"/>
      <c r="H17" s="2"/>
      <c r="I17" s="3"/>
      <c r="J17" s="3"/>
      <c r="K17" s="2"/>
      <c r="L17" s="2"/>
    </row>
    <row r="18" spans="1:12" ht="15" x14ac:dyDescent="0.25">
      <c r="A18" s="2"/>
      <c r="B18" s="2"/>
      <c r="C18" s="754" t="s">
        <v>678</v>
      </c>
      <c r="D18" s="754"/>
      <c r="E18" s="754"/>
      <c r="F18" s="2"/>
      <c r="G18" s="2"/>
      <c r="H18" s="2"/>
      <c r="I18" s="811"/>
      <c r="J18" s="3"/>
      <c r="K18" s="2"/>
      <c r="L18" s="2"/>
    </row>
    <row r="19" spans="1:12" ht="15" x14ac:dyDescent="0.25">
      <c r="A19" s="2"/>
      <c r="B19" s="2"/>
      <c r="C19" s="754" t="s">
        <v>680</v>
      </c>
      <c r="D19" s="754"/>
      <c r="E19" s="754"/>
      <c r="F19" s="754"/>
      <c r="G19" s="754"/>
      <c r="H19" s="2"/>
      <c r="I19" s="811"/>
      <c r="J19" s="3"/>
      <c r="K19" s="2"/>
      <c r="L19" s="2"/>
    </row>
    <row r="20" spans="1:12" ht="15" x14ac:dyDescent="0.25">
      <c r="A20" s="2"/>
      <c r="B20" s="2"/>
      <c r="C20" s="754" t="s">
        <v>681</v>
      </c>
      <c r="D20" s="754"/>
      <c r="E20" s="754"/>
      <c r="F20" s="754"/>
      <c r="G20" s="754"/>
      <c r="H20" s="754"/>
      <c r="I20" s="811"/>
      <c r="J20" s="3"/>
      <c r="K20" s="2"/>
      <c r="L20" s="2"/>
    </row>
    <row r="21" spans="1:12" ht="15" x14ac:dyDescent="0.25">
      <c r="A21" s="2"/>
      <c r="B21" s="2"/>
      <c r="C21" s="754" t="s">
        <v>684</v>
      </c>
      <c r="D21" s="754"/>
      <c r="E21" s="754"/>
      <c r="F21" s="754"/>
      <c r="G21" s="754"/>
      <c r="H21" s="754"/>
      <c r="I21" s="754"/>
      <c r="J21"/>
      <c r="K21" s="2"/>
      <c r="L21" s="2"/>
    </row>
    <row r="22" spans="1:12" ht="15.6" x14ac:dyDescent="0.3">
      <c r="A22" s="442" t="s">
        <v>685</v>
      </c>
      <c r="B22" s="442"/>
      <c r="C22" s="2"/>
      <c r="D22" s="2"/>
      <c r="E22" s="2"/>
      <c r="F22" s="2"/>
      <c r="G22" s="2"/>
      <c r="H22" s="2"/>
      <c r="I22" s="3"/>
      <c r="J22" s="3"/>
      <c r="K22" s="2"/>
      <c r="L22" s="2"/>
    </row>
    <row r="23" spans="1:12" ht="15" x14ac:dyDescent="0.25">
      <c r="A23" s="2"/>
      <c r="B23" s="754" t="s">
        <v>1505</v>
      </c>
      <c r="C23" s="754"/>
      <c r="D23" s="754"/>
      <c r="E23" s="754"/>
      <c r="F23" s="2"/>
      <c r="G23" s="2"/>
      <c r="H23" s="2"/>
      <c r="I23" s="3"/>
      <c r="J23" s="3"/>
      <c r="K23" s="2"/>
      <c r="L23" s="2"/>
    </row>
    <row r="24" spans="1:12" ht="15" x14ac:dyDescent="0.25">
      <c r="A24" s="2"/>
      <c r="B24" s="754" t="s">
        <v>1506</v>
      </c>
      <c r="C24" s="754"/>
      <c r="D24" s="754"/>
      <c r="E24" s="754"/>
      <c r="F24" s="754"/>
      <c r="G24" s="754"/>
      <c r="H24" s="754"/>
      <c r="I24" s="754"/>
      <c r="J24" s="3"/>
      <c r="K24" s="2"/>
      <c r="L24" s="2"/>
    </row>
    <row r="25" spans="1:12" ht="15" x14ac:dyDescent="0.25">
      <c r="A25" s="2"/>
      <c r="B25" s="754" t="s">
        <v>1507</v>
      </c>
      <c r="C25" s="754"/>
      <c r="D25" s="754"/>
      <c r="E25" s="754"/>
      <c r="F25" s="754"/>
      <c r="G25" s="754"/>
      <c r="H25" s="2"/>
      <c r="I25" s="3"/>
      <c r="J25" s="3"/>
      <c r="K25" s="2"/>
      <c r="L25" s="2"/>
    </row>
    <row r="26" spans="1:12" ht="15" x14ac:dyDescent="0.25">
      <c r="A26" s="2"/>
      <c r="B26" s="754" t="s">
        <v>16</v>
      </c>
      <c r="C26" s="754"/>
      <c r="D26" s="754"/>
      <c r="E26" s="754"/>
      <c r="F26" s="754"/>
      <c r="G26" s="754"/>
      <c r="H26" s="754"/>
      <c r="I26" s="3"/>
      <c r="J26" s="3"/>
      <c r="K26" s="2"/>
      <c r="L26" s="2"/>
    </row>
    <row r="27" spans="1:12" ht="15" x14ac:dyDescent="0.25">
      <c r="A27" s="2"/>
      <c r="B27" s="754" t="s">
        <v>1508</v>
      </c>
      <c r="C27" s="754"/>
      <c r="D27" s="754"/>
      <c r="E27" s="754"/>
      <c r="F27" s="2"/>
      <c r="G27" s="2"/>
      <c r="H27" s="2"/>
      <c r="I27" s="3"/>
      <c r="J27" s="3"/>
      <c r="K27" s="2"/>
      <c r="L27" s="2"/>
    </row>
    <row r="28" spans="1:12" ht="15" x14ac:dyDescent="0.25">
      <c r="A28" s="2"/>
      <c r="B28" s="754" t="s">
        <v>1509</v>
      </c>
      <c r="C28" s="754"/>
      <c r="D28" s="754"/>
      <c r="E28" s="754"/>
      <c r="F28" s="754"/>
      <c r="G28" s="754"/>
      <c r="H28" s="754"/>
      <c r="I28" s="754"/>
      <c r="J28" s="754"/>
      <c r="K28" s="2"/>
      <c r="L28" s="2"/>
    </row>
    <row r="29" spans="1:12" ht="15" x14ac:dyDescent="0.25">
      <c r="A29" s="2"/>
      <c r="B29" s="754" t="s">
        <v>1510</v>
      </c>
      <c r="C29" s="754"/>
      <c r="D29" s="754"/>
      <c r="E29" s="754"/>
      <c r="F29" s="754"/>
      <c r="G29" s="754"/>
      <c r="H29" s="2"/>
      <c r="I29" s="3"/>
      <c r="J29" s="3"/>
      <c r="K29" s="2"/>
      <c r="L29" s="2"/>
    </row>
    <row r="30" spans="1:12" ht="15" x14ac:dyDescent="0.25">
      <c r="A30" s="2"/>
      <c r="B30" s="754" t="s">
        <v>1554</v>
      </c>
      <c r="C30" s="754"/>
      <c r="D30" s="754"/>
      <c r="E30" s="754"/>
      <c r="F30" s="754"/>
      <c r="G30" s="754"/>
      <c r="H30" s="754"/>
      <c r="I30" s="2"/>
      <c r="J30" s="2"/>
      <c r="K30" s="2"/>
      <c r="L30" s="2"/>
    </row>
    <row r="31" spans="1:12" ht="15" x14ac:dyDescent="0.25">
      <c r="A31" s="2"/>
      <c r="B31" s="754" t="s">
        <v>1511</v>
      </c>
      <c r="C31" s="754"/>
      <c r="D31" s="754"/>
      <c r="E31" s="754"/>
      <c r="F31" s="754"/>
      <c r="G31" s="754"/>
      <c r="H31" s="754"/>
      <c r="I31" s="754"/>
      <c r="J31"/>
      <c r="K31" s="2"/>
      <c r="L31" s="2"/>
    </row>
    <row r="32" spans="1:12" ht="15" x14ac:dyDescent="0.25">
      <c r="A32" s="2"/>
      <c r="B32" s="754" t="s">
        <v>1512</v>
      </c>
      <c r="C32" s="754"/>
      <c r="D32" s="754"/>
      <c r="E32" s="754"/>
      <c r="F32" s="754"/>
      <c r="G32" s="754"/>
      <c r="H32" s="2"/>
      <c r="I32" s="969"/>
      <c r="J32" s="3"/>
      <c r="K32" s="2"/>
      <c r="L32" s="2"/>
    </row>
    <row r="33" spans="1:22" ht="15" x14ac:dyDescent="0.25">
      <c r="A33" s="2"/>
      <c r="B33" s="754" t="s">
        <v>686</v>
      </c>
      <c r="C33" s="754"/>
      <c r="D33" s="754"/>
      <c r="E33" s="754"/>
      <c r="F33" s="754"/>
      <c r="G33" s="754"/>
      <c r="H33" s="754"/>
      <c r="I33" s="754"/>
      <c r="J33" s="754"/>
      <c r="K33" s="2"/>
      <c r="L33" s="2"/>
    </row>
    <row r="34" spans="1:22" ht="15" x14ac:dyDescent="0.25">
      <c r="A34" s="2"/>
      <c r="B34" s="754" t="s">
        <v>1308</v>
      </c>
      <c r="C34" s="754"/>
      <c r="D34" s="754"/>
      <c r="E34" s="754"/>
      <c r="F34" s="754"/>
      <c r="G34" s="2"/>
      <c r="H34" s="2"/>
      <c r="I34" s="3"/>
      <c r="J34" s="3"/>
      <c r="K34" s="2"/>
      <c r="L34" s="2"/>
    </row>
    <row r="35" spans="1:22" ht="15" x14ac:dyDescent="0.25">
      <c r="A35" s="2"/>
      <c r="B35" s="754" t="s">
        <v>1309</v>
      </c>
      <c r="C35" s="754"/>
      <c r="D35" s="754"/>
      <c r="E35" s="754"/>
      <c r="F35" s="754"/>
      <c r="G35" s="754"/>
      <c r="H35" s="2"/>
      <c r="I35" s="3"/>
      <c r="J35" s="3"/>
      <c r="K35" s="2"/>
      <c r="L35" s="2"/>
    </row>
    <row r="36" spans="1:22" ht="15" x14ac:dyDescent="0.25">
      <c r="A36" s="2"/>
      <c r="B36" s="754" t="s">
        <v>1310</v>
      </c>
      <c r="C36" s="754"/>
      <c r="D36" s="754"/>
      <c r="E36" s="754"/>
      <c r="F36" s="754"/>
      <c r="G36" s="754"/>
      <c r="H36" s="2"/>
      <c r="I36" s="3"/>
      <c r="J36" s="3"/>
      <c r="K36" s="2"/>
      <c r="L36" s="2"/>
    </row>
    <row r="37" spans="1:22" ht="15" x14ac:dyDescent="0.25">
      <c r="A37" s="2"/>
      <c r="B37" s="754" t="s">
        <v>687</v>
      </c>
      <c r="C37" s="754"/>
      <c r="D37" s="754"/>
      <c r="E37" s="754"/>
      <c r="F37" s="754"/>
      <c r="G37" s="2"/>
      <c r="H37" s="2"/>
      <c r="I37" s="3"/>
      <c r="J37" s="3"/>
      <c r="K37" s="2"/>
      <c r="L37" s="3"/>
    </row>
    <row r="38" spans="1:22" ht="15" x14ac:dyDescent="0.25">
      <c r="A38" s="2"/>
      <c r="B38" s="754" t="s">
        <v>395</v>
      </c>
      <c r="C38" s="754"/>
      <c r="D38" s="754"/>
      <c r="E38" s="754"/>
      <c r="F38" s="754"/>
      <c r="G38" s="754"/>
      <c r="H38" s="754"/>
      <c r="I38" s="754"/>
      <c r="J38"/>
      <c r="K38" s="2"/>
      <c r="L38" s="3"/>
    </row>
    <row r="39" spans="1:22" ht="15" x14ac:dyDescent="0.25">
      <c r="A39" s="2"/>
      <c r="B39" s="754" t="s">
        <v>1467</v>
      </c>
      <c r="C39" s="754"/>
      <c r="D39" s="754"/>
      <c r="E39" s="754"/>
      <c r="F39" s="754"/>
      <c r="G39" s="754"/>
      <c r="H39" s="754"/>
      <c r="I39" s="2"/>
      <c r="J39" s="2"/>
      <c r="K39" s="2"/>
      <c r="L39" s="3"/>
    </row>
    <row r="40" spans="1:22" ht="15" x14ac:dyDescent="0.25">
      <c r="A40" s="2"/>
      <c r="B40" s="754" t="s">
        <v>688</v>
      </c>
      <c r="C40" s="754"/>
      <c r="D40" s="754"/>
      <c r="E40" s="754"/>
      <c r="F40" s="754"/>
      <c r="G40" s="2"/>
      <c r="H40" s="2"/>
      <c r="I40" s="3"/>
      <c r="J40" s="3"/>
      <c r="K40" s="2"/>
      <c r="L40" s="2"/>
    </row>
    <row r="41" spans="1:22" ht="15" x14ac:dyDescent="0.25">
      <c r="A41" s="2"/>
      <c r="B41" s="754" t="s">
        <v>692</v>
      </c>
      <c r="C41" s="754"/>
      <c r="D41" s="754"/>
      <c r="E41" s="754"/>
      <c r="F41" s="754"/>
      <c r="G41" s="754"/>
      <c r="H41" s="2"/>
      <c r="I41" s="3"/>
      <c r="J41" s="3"/>
      <c r="K41" s="2"/>
      <c r="L41" s="2"/>
    </row>
    <row r="42" spans="1:22" ht="15" x14ac:dyDescent="0.25">
      <c r="A42" s="2"/>
      <c r="B42" s="754" t="s">
        <v>693</v>
      </c>
      <c r="C42" s="754"/>
      <c r="D42" s="754"/>
      <c r="E42" s="754"/>
      <c r="F42" s="754"/>
      <c r="G42" s="754"/>
      <c r="H42" s="2"/>
      <c r="I42" s="3"/>
      <c r="J42" s="3"/>
      <c r="K42" s="2"/>
      <c r="L42" s="2"/>
    </row>
    <row r="43" spans="1:22" ht="15" x14ac:dyDescent="0.25">
      <c r="A43" s="2"/>
      <c r="B43" s="754" t="s">
        <v>1572</v>
      </c>
      <c r="C43" s="754"/>
      <c r="D43" s="754"/>
      <c r="E43" s="754"/>
      <c r="F43" s="754"/>
      <c r="G43" s="754"/>
      <c r="H43" s="754"/>
      <c r="I43" s="754"/>
      <c r="J43" s="2"/>
      <c r="K43" s="2"/>
      <c r="L43" s="2"/>
      <c r="M43" s="2"/>
    </row>
    <row r="44" spans="1:22" ht="15" x14ac:dyDescent="0.25">
      <c r="A44" s="2"/>
      <c r="B44" s="754" t="s">
        <v>1555</v>
      </c>
      <c r="C44" s="754"/>
      <c r="D44" s="754"/>
      <c r="E44" s="754"/>
      <c r="F44" s="754"/>
      <c r="G44" s="754"/>
      <c r="H44" s="754"/>
      <c r="I44" s="3"/>
      <c r="J44" s="3"/>
      <c r="K44" s="2"/>
      <c r="L44" s="2"/>
    </row>
    <row r="45" spans="1:22" ht="15" x14ac:dyDescent="0.25">
      <c r="A45" s="2"/>
      <c r="B45" s="754" t="s">
        <v>820</v>
      </c>
      <c r="C45" s="754"/>
      <c r="D45" s="754"/>
      <c r="E45" s="754"/>
      <c r="F45" s="754"/>
      <c r="G45" s="754"/>
      <c r="H45" s="2"/>
      <c r="I45" s="3"/>
      <c r="J45" s="3"/>
      <c r="K45" s="2"/>
      <c r="L45" s="2"/>
    </row>
    <row r="46" spans="1:22" ht="15" x14ac:dyDescent="0.25">
      <c r="A46" s="2"/>
      <c r="B46" s="754" t="s">
        <v>694</v>
      </c>
      <c r="C46" s="754"/>
      <c r="D46" s="754"/>
      <c r="E46" s="754"/>
      <c r="F46" s="754"/>
      <c r="G46" s="754"/>
      <c r="H46" s="754"/>
      <c r="I46" s="3"/>
      <c r="J46" s="3"/>
      <c r="K46" s="2"/>
      <c r="L46" s="2"/>
    </row>
    <row r="47" spans="1:22" ht="15" customHeight="1" x14ac:dyDescent="0.3">
      <c r="A47" s="1006"/>
      <c r="B47" s="754" t="s">
        <v>695</v>
      </c>
      <c r="C47" s="754"/>
      <c r="D47" s="754"/>
      <c r="E47" s="754"/>
      <c r="F47" s="754"/>
      <c r="G47" s="754"/>
      <c r="H47" s="754"/>
      <c r="I47" s="754"/>
      <c r="J47" s="2"/>
      <c r="K47" s="2"/>
      <c r="L47" s="2"/>
      <c r="V47" s="2"/>
    </row>
    <row r="48" spans="1:22" ht="15" customHeight="1" x14ac:dyDescent="0.3">
      <c r="A48" s="1006"/>
      <c r="B48" s="754" t="s">
        <v>696</v>
      </c>
      <c r="C48" s="754"/>
      <c r="D48" s="754"/>
      <c r="E48" s="754"/>
      <c r="F48" s="754"/>
      <c r="G48" s="754"/>
      <c r="H48" s="754"/>
      <c r="I48" s="3"/>
      <c r="J48" s="3"/>
      <c r="K48" s="2"/>
      <c r="L48" s="2"/>
    </row>
    <row r="49" spans="1:12" ht="15" customHeight="1" x14ac:dyDescent="0.3">
      <c r="A49" s="1006"/>
      <c r="B49" s="754" t="s">
        <v>703</v>
      </c>
      <c r="C49" s="754"/>
      <c r="D49" s="754"/>
      <c r="E49" s="754"/>
      <c r="F49" s="754"/>
      <c r="G49" s="754"/>
      <c r="H49" s="754"/>
      <c r="I49" s="754"/>
      <c r="J49" s="754"/>
      <c r="K49" s="2"/>
      <c r="L49" s="2"/>
    </row>
    <row r="50" spans="1:12" ht="15" x14ac:dyDescent="0.25">
      <c r="A50" s="2"/>
      <c r="B50" s="754" t="s">
        <v>1543</v>
      </c>
      <c r="C50" s="754"/>
      <c r="D50" s="754"/>
      <c r="E50" s="754"/>
      <c r="F50" s="754"/>
      <c r="G50" s="754"/>
      <c r="H50" s="754"/>
      <c r="I50" s="754"/>
      <c r="J50" s="754"/>
      <c r="K50"/>
      <c r="L50" s="2"/>
    </row>
    <row r="51" spans="1:12" ht="15" x14ac:dyDescent="0.25">
      <c r="A51" s="2"/>
      <c r="B51" s="754" t="s">
        <v>704</v>
      </c>
      <c r="C51" s="754"/>
      <c r="D51" s="754"/>
      <c r="E51" s="754"/>
      <c r="F51" s="754"/>
      <c r="G51" s="754"/>
      <c r="H51" s="2"/>
      <c r="I51" s="3"/>
      <c r="J51" s="3"/>
      <c r="K51" s="2"/>
      <c r="L51" s="2"/>
    </row>
    <row r="52" spans="1:12" ht="15" x14ac:dyDescent="0.25">
      <c r="A52" s="2"/>
      <c r="B52" s="754" t="s">
        <v>889</v>
      </c>
      <c r="C52" s="754"/>
      <c r="D52" s="754"/>
      <c r="E52" s="754"/>
      <c r="F52" s="754"/>
      <c r="G52" s="754"/>
      <c r="H52" s="754"/>
      <c r="I52" s="754"/>
      <c r="J52" s="754"/>
      <c r="K52" s="2"/>
      <c r="L52" s="2"/>
    </row>
    <row r="53" spans="1:12" ht="15" x14ac:dyDescent="0.25">
      <c r="A53" s="2"/>
      <c r="B53" s="754" t="s">
        <v>476</v>
      </c>
      <c r="C53" s="754"/>
      <c r="D53" s="754"/>
      <c r="E53" s="754"/>
      <c r="F53" s="754"/>
      <c r="G53" s="754"/>
      <c r="H53" s="754"/>
      <c r="I53" s="754"/>
      <c r="J53" s="754"/>
      <c r="K53" s="2"/>
      <c r="L53" s="2"/>
    </row>
    <row r="54" spans="1:12" ht="15" x14ac:dyDescent="0.25">
      <c r="A54" s="2"/>
      <c r="B54" s="754" t="s">
        <v>705</v>
      </c>
      <c r="C54" s="754"/>
      <c r="D54" s="754"/>
      <c r="E54" s="754"/>
      <c r="F54" s="2"/>
      <c r="G54" s="2"/>
      <c r="H54" s="2"/>
      <c r="I54" s="3"/>
      <c r="J54" s="3"/>
      <c r="K54" s="2"/>
      <c r="L54" s="2"/>
    </row>
    <row r="55" spans="1:12" ht="15" x14ac:dyDescent="0.25">
      <c r="A55" s="2"/>
      <c r="B55" s="754" t="s">
        <v>581</v>
      </c>
      <c r="C55" s="754"/>
      <c r="D55" s="754"/>
      <c r="E55" s="754"/>
      <c r="F55" s="754"/>
      <c r="G55" s="754"/>
      <c r="H55" s="754"/>
      <c r="I55" s="1433"/>
      <c r="J55" s="3"/>
      <c r="K55" s="2"/>
      <c r="L55" s="2"/>
    </row>
    <row r="56" spans="1:12" ht="15.6" x14ac:dyDescent="0.3">
      <c r="A56" s="442" t="s">
        <v>706</v>
      </c>
      <c r="B56" s="442"/>
      <c r="C56" s="442"/>
      <c r="D56" s="442"/>
      <c r="E56" s="442"/>
      <c r="F56" s="2"/>
      <c r="G56" s="2"/>
      <c r="H56" s="2"/>
      <c r="I56" s="3"/>
      <c r="J56" s="3"/>
      <c r="K56" s="2"/>
      <c r="L56" s="2"/>
    </row>
    <row r="57" spans="1:12" ht="15" x14ac:dyDescent="0.25">
      <c r="A57" s="2"/>
      <c r="B57" s="754" t="s">
        <v>707</v>
      </c>
      <c r="C57" s="754"/>
      <c r="D57" s="754"/>
      <c r="E57" s="754"/>
      <c r="F57" s="754"/>
      <c r="G57" s="754"/>
      <c r="H57" s="754"/>
      <c r="I57" s="754"/>
      <c r="J57" s="3"/>
      <c r="K57" s="2"/>
      <c r="L57" s="2"/>
    </row>
    <row r="58" spans="1:12" ht="15" x14ac:dyDescent="0.25">
      <c r="A58" s="2"/>
      <c r="B58" s="754" t="s">
        <v>708</v>
      </c>
      <c r="C58" s="754"/>
      <c r="D58" s="754"/>
      <c r="E58" s="754"/>
      <c r="F58" s="754"/>
      <c r="G58" s="478"/>
      <c r="H58" s="478"/>
      <c r="I58" s="811"/>
      <c r="J58" s="3"/>
      <c r="K58" s="2"/>
      <c r="L58" s="2"/>
    </row>
    <row r="59" spans="1:12" ht="15.6" x14ac:dyDescent="0.3">
      <c r="A59" s="442" t="s">
        <v>709</v>
      </c>
      <c r="B59" s="442"/>
      <c r="C59" s="2"/>
      <c r="D59" s="2"/>
      <c r="E59" s="2"/>
      <c r="F59" s="2"/>
      <c r="G59" s="2"/>
      <c r="H59" s="2"/>
      <c r="I59" s="3"/>
      <c r="J59" s="3"/>
      <c r="K59" s="2"/>
      <c r="L59" s="2"/>
    </row>
    <row r="60" spans="1:12" ht="15" x14ac:dyDescent="0.25">
      <c r="A60" s="2"/>
      <c r="B60" s="754" t="s">
        <v>168</v>
      </c>
      <c r="C60" s="754"/>
      <c r="D60" s="754"/>
      <c r="E60" s="754"/>
      <c r="F60" s="754"/>
      <c r="G60" s="754"/>
      <c r="H60" s="754"/>
      <c r="I60" s="754"/>
      <c r="J60" s="3"/>
      <c r="K60" s="2"/>
      <c r="L60" s="2"/>
    </row>
    <row r="61" spans="1:12" ht="15" x14ac:dyDescent="0.25">
      <c r="A61" s="2"/>
      <c r="B61" s="754" t="s">
        <v>169</v>
      </c>
      <c r="C61" s="754"/>
      <c r="D61" s="754"/>
      <c r="E61" s="754"/>
      <c r="F61" s="754"/>
      <c r="G61" s="754"/>
      <c r="H61" s="754"/>
      <c r="I61" s="754"/>
      <c r="J61" s="3"/>
      <c r="K61" s="2"/>
      <c r="L61" s="2"/>
    </row>
    <row r="62" spans="1:12" ht="15" x14ac:dyDescent="0.25">
      <c r="A62" s="2"/>
      <c r="B62" s="754" t="s">
        <v>170</v>
      </c>
      <c r="C62" s="754"/>
      <c r="D62" s="754"/>
      <c r="E62" s="754"/>
      <c r="F62" s="754"/>
      <c r="G62" s="754"/>
      <c r="H62" s="754"/>
      <c r="I62" s="754"/>
      <c r="J62" s="754"/>
      <c r="K62" s="754"/>
      <c r="L62" s="2"/>
    </row>
    <row r="63" spans="1:12" ht="15.6" x14ac:dyDescent="0.3">
      <c r="A63" s="442" t="s">
        <v>710</v>
      </c>
      <c r="B63" s="442"/>
      <c r="C63" s="442"/>
      <c r="D63" s="442"/>
      <c r="E63" s="2"/>
      <c r="F63" s="2"/>
      <c r="G63" s="2"/>
      <c r="H63" s="2"/>
      <c r="I63" s="3"/>
      <c r="J63" s="3"/>
      <c r="K63" s="2"/>
      <c r="L63" s="2"/>
    </row>
    <row r="64" spans="1:12" ht="15" x14ac:dyDescent="0.25">
      <c r="A64" s="2"/>
      <c r="B64" s="754" t="s">
        <v>711</v>
      </c>
      <c r="C64" s="754"/>
      <c r="D64" s="754"/>
      <c r="E64" s="754"/>
      <c r="F64" s="754"/>
      <c r="G64" s="754"/>
      <c r="H64" s="478"/>
      <c r="I64" s="811"/>
      <c r="J64" s="811"/>
      <c r="K64" s="2"/>
      <c r="L64" s="2"/>
    </row>
    <row r="65" spans="1:49" ht="15" x14ac:dyDescent="0.25">
      <c r="A65" s="2"/>
      <c r="B65" s="754" t="s">
        <v>1513</v>
      </c>
      <c r="C65" s="754"/>
      <c r="D65" s="754"/>
      <c r="E65" s="754"/>
      <c r="F65" s="754"/>
      <c r="G65" s="754"/>
      <c r="H65" s="754"/>
      <c r="I65" s="754"/>
      <c r="J65"/>
      <c r="K65" s="2"/>
      <c r="L65" s="2"/>
    </row>
    <row r="66" spans="1:49" ht="15" x14ac:dyDescent="0.25">
      <c r="A66" s="2"/>
      <c r="B66" s="754" t="s">
        <v>1514</v>
      </c>
      <c r="C66" s="754"/>
      <c r="D66" s="754"/>
      <c r="E66" s="754"/>
      <c r="F66" s="754"/>
      <c r="G66" s="754"/>
      <c r="H66" s="754"/>
      <c r="I66" s="754"/>
      <c r="J66" s="754"/>
      <c r="K66" s="754"/>
      <c r="L66" s="2"/>
    </row>
    <row r="67" spans="1:49" ht="15" x14ac:dyDescent="0.25">
      <c r="A67" s="2"/>
      <c r="B67" s="754" t="s">
        <v>1515</v>
      </c>
      <c r="C67" s="754"/>
      <c r="D67" s="754"/>
      <c r="E67" s="754"/>
      <c r="F67" s="754"/>
      <c r="G67" s="754"/>
      <c r="H67" s="754"/>
      <c r="I67" s="754"/>
      <c r="J67" s="811"/>
      <c r="K67" s="2"/>
      <c r="L67" s="2"/>
    </row>
    <row r="68" spans="1:49" ht="15" x14ac:dyDescent="0.25">
      <c r="A68" s="2"/>
      <c r="B68" s="754" t="s">
        <v>712</v>
      </c>
      <c r="C68" s="754"/>
      <c r="D68" s="754"/>
      <c r="E68" s="754"/>
      <c r="F68" s="754"/>
      <c r="G68" s="754"/>
      <c r="H68" s="754"/>
      <c r="I68" s="754"/>
      <c r="J68" s="811"/>
      <c r="K68" s="2"/>
      <c r="L68" s="2"/>
    </row>
    <row r="69" spans="1:49" ht="15.6" x14ac:dyDescent="0.3">
      <c r="A69" s="442" t="s">
        <v>713</v>
      </c>
      <c r="B69" s="442"/>
      <c r="C69" s="442"/>
      <c r="D69" s="2"/>
      <c r="E69" s="2"/>
      <c r="F69" s="2"/>
      <c r="G69" s="2"/>
      <c r="H69" s="2"/>
      <c r="I69" s="3"/>
      <c r="J69" s="3"/>
      <c r="K69" s="2"/>
      <c r="L69" s="2"/>
    </row>
    <row r="70" spans="1:49" ht="15" x14ac:dyDescent="0.25">
      <c r="A70" s="2"/>
      <c r="B70" s="754" t="s">
        <v>714</v>
      </c>
      <c r="C70" s="754"/>
      <c r="D70" s="754"/>
      <c r="E70" s="754"/>
      <c r="F70" s="754"/>
      <c r="G70" s="478"/>
      <c r="H70" s="478"/>
      <c r="I70" s="3"/>
      <c r="J70" s="3"/>
      <c r="K70" s="2"/>
      <c r="L70" s="2"/>
    </row>
    <row r="71" spans="1:49" ht="15" x14ac:dyDescent="0.25">
      <c r="A71" s="2"/>
      <c r="B71" s="754" t="s">
        <v>1630</v>
      </c>
      <c r="C71" s="754"/>
      <c r="D71" s="754"/>
      <c r="E71" s="754"/>
      <c r="F71"/>
      <c r="G71"/>
      <c r="H71"/>
      <c r="I71" s="3"/>
      <c r="J71" s="3"/>
      <c r="K71" s="2"/>
      <c r="L71" s="2"/>
    </row>
    <row r="72" spans="1:49" ht="15" x14ac:dyDescent="0.25">
      <c r="A72" s="2"/>
      <c r="B72" s="754" t="s">
        <v>1631</v>
      </c>
      <c r="C72" s="754"/>
      <c r="D72" s="754"/>
      <c r="E72" s="754"/>
      <c r="F72" s="754"/>
      <c r="G72" s="754"/>
      <c r="H72"/>
      <c r="I72"/>
      <c r="J72" s="3"/>
      <c r="K72" s="2"/>
      <c r="L72" s="2"/>
    </row>
    <row r="73" spans="1:49" ht="15" x14ac:dyDescent="0.25">
      <c r="A73" s="2"/>
      <c r="B73" s="754" t="s">
        <v>715</v>
      </c>
      <c r="C73" s="754"/>
      <c r="D73" s="754"/>
      <c r="E73" s="754"/>
      <c r="F73" s="754"/>
      <c r="G73" s="754"/>
      <c r="H73"/>
      <c r="I73" s="3"/>
      <c r="J73" s="3"/>
      <c r="K73" s="2"/>
      <c r="L73" s="2"/>
    </row>
    <row r="74" spans="1:49" ht="15.6" x14ac:dyDescent="0.3">
      <c r="A74" s="442" t="s">
        <v>716</v>
      </c>
      <c r="B74" s="442"/>
      <c r="C74" s="2"/>
      <c r="D74" s="2"/>
      <c r="E74" s="2"/>
      <c r="F74" s="2"/>
      <c r="G74" s="2"/>
      <c r="H74" s="2"/>
      <c r="I74" s="3"/>
      <c r="J74" s="3"/>
      <c r="K74" s="2"/>
      <c r="L74" s="2"/>
    </row>
    <row r="75" spans="1:49" ht="15" x14ac:dyDescent="0.25">
      <c r="A75" s="2"/>
      <c r="B75" s="754" t="s">
        <v>733</v>
      </c>
      <c r="C75" s="754"/>
      <c r="D75" s="754"/>
      <c r="E75" s="754"/>
      <c r="F75" s="754"/>
      <c r="G75" s="2"/>
      <c r="H75" s="2"/>
      <c r="I75" s="3"/>
      <c r="J75" s="3"/>
      <c r="K75" s="2"/>
      <c r="L75" s="2"/>
    </row>
    <row r="76" spans="1:49" ht="15.6" x14ac:dyDescent="0.3">
      <c r="A76" s="442" t="s">
        <v>1100</v>
      </c>
      <c r="B76" s="442"/>
      <c r="C76" s="442"/>
      <c r="D76" s="2"/>
      <c r="E76" s="2"/>
      <c r="F76" s="2"/>
      <c r="G76" s="2"/>
      <c r="H76" s="2"/>
      <c r="I76" s="3"/>
      <c r="J76" s="3"/>
      <c r="K76" s="2"/>
      <c r="L76" s="2"/>
    </row>
    <row r="77" spans="1:49" ht="15.6" x14ac:dyDescent="0.3">
      <c r="A77" s="442"/>
      <c r="B77" s="1691" t="s">
        <v>735</v>
      </c>
      <c r="C77" s="1691"/>
      <c r="D77" s="1691"/>
      <c r="E77" s="1691"/>
      <c r="F77" s="1691"/>
      <c r="G77" s="443"/>
      <c r="H77" s="443"/>
      <c r="I77" s="444"/>
      <c r="J77" s="444"/>
      <c r="K77" s="443"/>
      <c r="L77" s="443"/>
      <c r="M77" s="369"/>
      <c r="N77" s="368"/>
      <c r="O77" s="368"/>
      <c r="P77" s="368"/>
      <c r="Q77" s="368"/>
      <c r="R77" s="368"/>
      <c r="S77" s="368"/>
      <c r="T77" s="368"/>
      <c r="U77" s="368"/>
      <c r="V77" s="368"/>
      <c r="W77" s="368"/>
      <c r="X77" s="368"/>
      <c r="Y77" s="368"/>
      <c r="Z77" s="368"/>
      <c r="AA77" s="368"/>
      <c r="AB77" s="368"/>
      <c r="AC77" s="368"/>
      <c r="AD77" s="368"/>
      <c r="AE77" s="368"/>
      <c r="AF77" s="368"/>
      <c r="AG77" s="368"/>
      <c r="AH77" s="368"/>
      <c r="AI77" s="368"/>
      <c r="AJ77" s="368"/>
      <c r="AK77" s="368"/>
      <c r="AL77" s="368"/>
      <c r="AM77" s="368"/>
      <c r="AN77" s="368"/>
      <c r="AO77" s="368"/>
      <c r="AP77" s="368"/>
      <c r="AQ77" s="368"/>
      <c r="AR77" s="368"/>
      <c r="AS77" s="368"/>
      <c r="AT77" s="368"/>
      <c r="AU77" s="368"/>
      <c r="AV77" s="368"/>
      <c r="AW77" s="368"/>
    </row>
    <row r="78" spans="1:49" ht="15" customHeight="1" x14ac:dyDescent="0.3">
      <c r="A78" s="442"/>
      <c r="B78" s="7" t="s">
        <v>580</v>
      </c>
      <c r="O78" s="371"/>
      <c r="P78" s="371"/>
      <c r="Q78" s="371"/>
      <c r="R78" s="371"/>
      <c r="S78" s="371"/>
      <c r="T78" s="371"/>
      <c r="U78" s="371"/>
      <c r="V78" s="371"/>
      <c r="W78" s="371"/>
      <c r="X78" s="371"/>
      <c r="Y78" s="371"/>
      <c r="Z78" s="371"/>
      <c r="AA78" s="371"/>
      <c r="AB78" s="371"/>
      <c r="AC78" s="371"/>
      <c r="AD78" s="371"/>
      <c r="AE78" s="371"/>
      <c r="AF78" s="371"/>
      <c r="AG78" s="371"/>
      <c r="AH78" s="371"/>
      <c r="AI78" s="371"/>
      <c r="AJ78" s="371"/>
      <c r="AK78" s="371"/>
      <c r="AL78" s="371"/>
      <c r="AM78" s="371"/>
      <c r="AN78" s="371"/>
      <c r="AO78" s="371"/>
      <c r="AP78" s="371"/>
      <c r="AQ78" s="371"/>
      <c r="AR78" s="371"/>
      <c r="AS78" s="371"/>
      <c r="AT78" s="371"/>
      <c r="AU78" s="371"/>
      <c r="AV78" s="371"/>
    </row>
    <row r="79" spans="1:49" ht="15" x14ac:dyDescent="0.25">
      <c r="A79" s="2"/>
      <c r="B79" s="478"/>
      <c r="C79" s="754" t="s">
        <v>1378</v>
      </c>
      <c r="D79" s="754"/>
      <c r="E79" s="754"/>
      <c r="F79" s="754"/>
      <c r="G79" s="754"/>
      <c r="H79" s="754"/>
      <c r="I79" s="754"/>
      <c r="J79" s="754"/>
      <c r="K79" s="754"/>
      <c r="L79" s="2"/>
    </row>
    <row r="80" spans="1:49" ht="15" x14ac:dyDescent="0.25">
      <c r="A80" s="2"/>
      <c r="B80" s="478"/>
      <c r="C80" s="754" t="s">
        <v>1379</v>
      </c>
      <c r="D80" s="754"/>
      <c r="E80" s="754"/>
      <c r="F80" s="754"/>
      <c r="G80" s="754"/>
      <c r="H80" s="754"/>
      <c r="I80" s="754"/>
      <c r="J80" s="754"/>
      <c r="K80" s="754"/>
      <c r="L80" s="2"/>
    </row>
    <row r="81" spans="1:13" ht="15" x14ac:dyDescent="0.25">
      <c r="A81" s="2"/>
      <c r="B81" s="478"/>
      <c r="C81" s="754" t="s">
        <v>1380</v>
      </c>
      <c r="D81" s="754"/>
      <c r="E81" s="754"/>
      <c r="F81" s="754"/>
      <c r="G81" s="754"/>
      <c r="H81" s="754"/>
      <c r="I81" s="754"/>
      <c r="J81" s="754"/>
      <c r="K81" s="754"/>
      <c r="L81" s="2"/>
    </row>
    <row r="82" spans="1:13" ht="15" x14ac:dyDescent="0.25">
      <c r="A82" s="2"/>
      <c r="B82" s="478"/>
      <c r="C82" s="754" t="s">
        <v>1516</v>
      </c>
      <c r="D82" s="754"/>
      <c r="E82" s="754"/>
      <c r="F82" s="754"/>
      <c r="G82" s="754"/>
      <c r="H82" s="754"/>
      <c r="I82" s="754"/>
      <c r="J82" s="754"/>
      <c r="K82" s="754"/>
      <c r="L82" s="2"/>
    </row>
    <row r="83" spans="1:13" ht="15" x14ac:dyDescent="0.25">
      <c r="A83" s="2"/>
      <c r="B83" s="478"/>
      <c r="C83" s="754" t="s">
        <v>736</v>
      </c>
      <c r="D83" s="754"/>
      <c r="E83" s="754"/>
      <c r="F83" s="754"/>
      <c r="G83" s="478"/>
      <c r="H83" s="478"/>
      <c r="I83" s="811"/>
      <c r="J83" s="811"/>
      <c r="K83" s="478"/>
      <c r="L83" s="2"/>
    </row>
    <row r="84" spans="1:13" ht="15" x14ac:dyDescent="0.25">
      <c r="A84" s="2"/>
      <c r="B84" s="478"/>
      <c r="C84" s="754" t="s">
        <v>1102</v>
      </c>
      <c r="D84" s="754"/>
      <c r="E84" s="754"/>
      <c r="F84" s="754"/>
      <c r="G84" s="754"/>
      <c r="H84" s="478"/>
      <c r="I84" s="811"/>
      <c r="J84" s="811"/>
      <c r="K84" s="478"/>
      <c r="L84" s="2"/>
    </row>
    <row r="85" spans="1:13" ht="15.6" x14ac:dyDescent="0.3">
      <c r="A85" s="2"/>
      <c r="B85" s="442" t="s">
        <v>1101</v>
      </c>
      <c r="C85" s="2"/>
      <c r="D85" s="2"/>
      <c r="E85" s="2"/>
      <c r="F85" s="2"/>
      <c r="G85" s="2"/>
      <c r="H85" s="2"/>
      <c r="I85" s="3"/>
      <c r="J85" s="3"/>
      <c r="K85" s="2"/>
      <c r="L85" s="2"/>
    </row>
    <row r="86" spans="1:13" ht="15" x14ac:dyDescent="0.25">
      <c r="A86" s="2"/>
      <c r="B86" s="2"/>
      <c r="C86" s="754" t="s">
        <v>1103</v>
      </c>
      <c r="D86" s="754"/>
      <c r="E86" s="754"/>
      <c r="F86" s="754"/>
      <c r="G86" s="754"/>
      <c r="H86" s="2"/>
      <c r="I86" s="3"/>
      <c r="J86" s="3"/>
      <c r="K86" s="2"/>
      <c r="L86" s="2"/>
    </row>
    <row r="93" spans="1:13" x14ac:dyDescent="0.25">
      <c r="D93"/>
      <c r="E93"/>
      <c r="F93"/>
      <c r="G93"/>
      <c r="H93"/>
      <c r="I93"/>
      <c r="J93"/>
      <c r="K93"/>
    </row>
    <row r="95" spans="1:13" x14ac:dyDescent="0.25">
      <c r="L95" s="8"/>
      <c r="M95" s="8"/>
    </row>
  </sheetData>
  <mergeCells count="3">
    <mergeCell ref="A2:K2"/>
    <mergeCell ref="B77:F77"/>
    <mergeCell ref="A1:K1"/>
  </mergeCells>
  <phoneticPr fontId="1" type="noConversion"/>
  <hyperlinks>
    <hyperlink ref="C79:K79" location="'Graduation Rates (2003)'!A1" display="Fall 2003: First-time, Full-time Freshmen Graduation Rates"/>
    <hyperlink ref="C80:K80" location="'Graduation Rates (2004)'!A1" display="Fall 2004: First-time, Full-time Freshmen Graduation Rates"/>
    <hyperlink ref="C81:K81" location="'Graduation Rates (2005)'!A1" display="Fall 2005: First-time, Full-time Freshmen Graduation Rates"/>
    <hyperlink ref="B24:I24" location="'NEW Fall CHP by DISC'!A1" display="Fall 2012 Credit Hour Production History by Discipline"/>
    <hyperlink ref="B25:G25" location="'NEW Fall FTE by DISC'!A1" display="Fall 2012 FTE History by Discipline"/>
    <hyperlink ref="B23:E23" location="'Fall 2012 Headcount'!A1" display="Fall 2012 Headcount"/>
    <hyperlink ref="B30:H30" location="'Headcount &amp; FTE History'!A1" display="Fall and Spring Headcount and FTE History"/>
    <hyperlink ref="B26:H26" location="'UG cr hrs per student'!A1" display="Fall Average Hours per Undergraduate Student"/>
    <hyperlink ref="B34:F34" location="'Fall Headcount by Class'!A1" display="Fall Headcount History by Class"/>
    <hyperlink ref="B45:G45" location="'Fall 2012 by Age and Gend'!A1" display="Fall Enrollment by Age and Gender"/>
    <hyperlink ref="B44:H44" location="'Average Age'!A1" display="Average Student Age History (Fall Updated)"/>
    <hyperlink ref="B46:H46" location="'Black Enrollment History'!A1" display="African-American Student Enrollment History"/>
    <hyperlink ref="B43:I43" location="'Number of Online Courses'!A1" display="Number of Online Courses Offered (Fall Updated)"/>
    <hyperlink ref="B37:F37" location="'New Fall college hdcnt by major'!A1" display="Fall Headcount History by Major"/>
    <hyperlink ref="B39:H39" location="'Fall Headcoun by Education Majo'!A1" display="Fall Headcount by Major - Teacher Certification"/>
    <hyperlink ref="B40:F40" location="'Minor Headcount History'!A1" display="Fall Headcount History by Minor"/>
    <hyperlink ref="B38:I38" location="'Fal hdct by major 5 yr ave'!A1" display="Fall Headcount History by Major: Five-Year Averages"/>
    <hyperlink ref="B47:I47" location="'Country of Origin'!A1" display="Geographical Distribution History by Country of Origin"/>
    <hyperlink ref="B48:H48" location="'State of Origin'!A1" display="Geographical Distribution History by State"/>
    <hyperlink ref="B49:J49" location="'SC Students by County'!A1" display="Geographical Distribution History by South Carolina County"/>
    <hyperlink ref="B50:J50" location="'In- &amp; Out-of-State Distribution'!A1" display="In-State/Out-of-State Headcount History (Fall Updated)"/>
    <hyperlink ref="B27:E27" location="'Spring 2013 Headcount'!A1" display="Spring 2013 Headcount"/>
    <hyperlink ref="B41:G41" location="'Spring college hdcnt by major'!A1" display="Spring Headcount History by Major"/>
    <hyperlink ref="B28:J28" location="'NEW Spring CHP by DISC'!A1" display="Spring 2013 Credit Hour Production History by Discipline"/>
    <hyperlink ref="B35:G35" location="'Spring Headcount by Class'!A1" display="Spring Headcount History by Class"/>
    <hyperlink ref="B29:G29" location="'NEW Spring FTE by DISC'!A1" display="Spring 2013 FTE History by Discipline"/>
    <hyperlink ref="C82:K82" location="'Graduation Rates (2006)'!A1" display="Fall 2006: First-time, Full-time Freshmen Graduation Rates"/>
    <hyperlink ref="C83:F83" location="'Graduation Rates 4 Yr Ave'!A1" display="Four-Year Averages"/>
    <hyperlink ref="B60:I60" location="'Alumni by Country'!A1" display="Alumni Geographical Distribution History by Country"/>
    <hyperlink ref="B61:I61" location="'Alumni by State'!A1" display="Alumni Geographical Distribution History by State"/>
    <hyperlink ref="B62:K62" location="'Alumni by County'!A1" display="Alumni Geographical Distribution History by South Carolina County"/>
    <hyperlink ref="C84:G84" location="'Freshmen Retention_Attrition'!A1" display="Freshmen Retention and Attrition"/>
    <hyperlink ref="B6:D6" location="'Board of Trustees'!A1" display="Board of Trustees"/>
    <hyperlink ref="B7:D7" location="'Executive Officers'!A1" display="Executive Officers"/>
    <hyperlink ref="B8:E8" location="'2011-2012 org chart'!A1" display="Organizational Chart"/>
    <hyperlink ref="C11:E11" location="'Freshmen Application History'!A1" display="Application History"/>
    <hyperlink ref="C12:G12" location="'Freshmen by Gender'!A1" display="Application History by Gender"/>
    <hyperlink ref="C13:H13" location="'Freshmen by Ethnic Origin'!A1" display="Application History by Ethnic Origin"/>
    <hyperlink ref="C14:K14" location="'Freshmen SAT 91-95'!A1" display="SAT Scores: Lander, State, National Averages (1991-1995)"/>
    <hyperlink ref="C15:K15" location="'Freshmen SAT 96-12'!A1" display="SAT Scores: Lander, State, National Averages (1996-2012)"/>
    <hyperlink ref="C18:E18" location="'Transfer Application History'!A1" display="Application History"/>
    <hyperlink ref="C19:G19" location="'Transfers by Gender'!A1" display="Application History by Gender"/>
    <hyperlink ref="C20:H20" location="'Transfers by Ethnic Origin'!A1" display="Application History by Ethnic Origin"/>
    <hyperlink ref="B51:G51" location="'New degrees conferred by colleg'!A1" display="Degrees Conferred History by Division"/>
    <hyperlink ref="B52:J52" location="'deg conferred 5 yr averages'!A1" display="Degrees Conferred History by Division Five-Year Averages"/>
    <hyperlink ref="B53:H53" location="'teacher certification degrees'!A1" display="Degrees Conferred with Teacher Certification"/>
    <hyperlink ref="B54:E54" location="'Minors Conferred'!A1" display="Minors Conferred History"/>
    <hyperlink ref="B55:I55" location="'Minors Conferred 5 year average'!A1" display="Minors Conferred History Five-Year Averages"/>
    <hyperlink ref="B58:F58" location="'Library Statistics'!A1" display="Library Statistics History"/>
    <hyperlink ref="B36:G36" location="'Summer Headcount by Class'!A1" display="Summer Headcount History by Class"/>
    <hyperlink ref="B42:G42" location="'New Summer hdnt by college'!A1" display="Summer Headcount History by Major"/>
    <hyperlink ref="B33:J33" location="'Summer Credit Hour Production'!A1" display="Summer Headcount and Credit Hour Production History"/>
    <hyperlink ref="B31:I31" location="'NEW Summer CHP by DISC'!A1" display="Summer 2013 Credit Hour Production History by Discipline"/>
    <hyperlink ref="B32:G32" location="'NEW Summer FTE by DISC'!A1" display="Summer 2013 FTE History by Discipline"/>
    <hyperlink ref="C16:H16" location="'first time freshmen by high sch'!A1" display="First-time Freshmen by SC High School"/>
    <hyperlink ref="C21:I21" location="'Transfers by Institution'!A1" display="Enrollment History by South Carolina Institutions"/>
    <hyperlink ref="C86:G86" location="'Transfer Retention_Attrition'!A1" display="Transfer Retention and Attrition"/>
    <hyperlink ref="B70:F70" location="'Academic Fees'!A1" display="Full-Time Academic Fees History"/>
    <hyperlink ref="B57:I57" location="'Residency Halls Occupancy'!A1" display="Fall and Spring Residential Unit Occupancy History"/>
    <hyperlink ref="B71:E71" location="'financial aid sources'!A1" display="Financial Aid Award History"/>
    <hyperlink ref="B72:G72" location="Chart_Aid!A1" display="Financial Aid Award History Graph"/>
    <hyperlink ref="B64:G64" location="'FTE Student-Faculty Ratio'!A1" display="Fall FTE Student Faculty Ratio History"/>
    <hyperlink ref="B65:I65" location="'Fall Teaching Fac. by Div rank'!A1" display="Fall 2012 Teaching Faculty by School/Division and Rank"/>
    <hyperlink ref="B66:K66" location="'Faculty by Div,Tenure,Degree'!A1" display="Fall 2012 Faculty by School/Division by Tenure Status and Terminal Degree"/>
    <hyperlink ref="B67:I67" location="'Faculty by Rank and Gender'!A1" display="Fall 2012 Faculty Headcount by Rank and Gender"/>
    <hyperlink ref="B73:G73" location="'Revenues and Expenditures 12_13'!A1" display="Current Fund Revenues and Expenditures"/>
    <hyperlink ref="B75:F75" location="' Facilities'!A1" display="Inventory of Major Buildings"/>
    <hyperlink ref="B68:I68" location="'Faculty Salaries by Rank'!A1" display="Average Nine-month Faculty Salaries History by Rank"/>
  </hyperlinks>
  <printOptions horizontalCentered="1"/>
  <pageMargins left="1" right="0.75" top="0.5" bottom="0.5" header="0.5" footer="0.5"/>
  <pageSetup scale="53" orientation="portrait" horizontalDpi="4294967292"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53"/>
  <sheetViews>
    <sheetView zoomScaleNormal="100" workbookViewId="0">
      <selection sqref="A1:P1"/>
    </sheetView>
  </sheetViews>
  <sheetFormatPr defaultColWidth="11.44140625" defaultRowHeight="13.2" x14ac:dyDescent="0.25"/>
  <cols>
    <col min="1" max="1" width="35.5546875" style="1176" bestFit="1" customWidth="1"/>
    <col min="2" max="4" width="12.44140625" style="1176" hidden="1" customWidth="1"/>
    <col min="5" max="9" width="12.44140625" style="7" hidden="1" customWidth="1"/>
    <col min="10" max="14" width="12.44140625" style="7" customWidth="1"/>
    <col min="15" max="17" width="12.44140625" style="1176" customWidth="1"/>
    <col min="18" max="16384" width="11.44140625" style="1176"/>
  </cols>
  <sheetData>
    <row r="1" spans="1:16" s="13" customFormat="1" ht="17.399999999999999" x14ac:dyDescent="0.3">
      <c r="A1" s="1694" t="s">
        <v>24</v>
      </c>
      <c r="B1" s="1694"/>
      <c r="C1" s="1694"/>
      <c r="D1" s="1694"/>
      <c r="E1" s="1694"/>
      <c r="F1" s="1694"/>
      <c r="G1" s="1694"/>
      <c r="H1" s="1694"/>
      <c r="I1" s="1694"/>
      <c r="J1" s="1694"/>
      <c r="K1" s="1694"/>
      <c r="L1" s="1694"/>
      <c r="M1" s="1694"/>
      <c r="N1" s="1694"/>
      <c r="O1" s="1694"/>
      <c r="P1" s="1694"/>
    </row>
    <row r="2" spans="1:16" s="13" customFormat="1" ht="17.399999999999999" x14ac:dyDescent="0.3">
      <c r="A2" s="1694" t="s">
        <v>25</v>
      </c>
      <c r="B2" s="1694"/>
      <c r="C2" s="1694"/>
      <c r="D2" s="1694"/>
      <c r="E2" s="1694"/>
      <c r="F2" s="1694"/>
      <c r="G2" s="1694"/>
      <c r="H2" s="1694"/>
      <c r="I2" s="1694"/>
      <c r="J2" s="1694"/>
      <c r="K2" s="1694"/>
      <c r="L2" s="1694"/>
      <c r="M2" s="1694"/>
      <c r="N2" s="1694"/>
      <c r="O2" s="1694"/>
      <c r="P2" s="1694"/>
    </row>
    <row r="3" spans="1:16" s="13" customFormat="1" ht="18" thickBot="1" x14ac:dyDescent="0.35"/>
    <row r="4" spans="1:16" ht="27.75" customHeight="1" x14ac:dyDescent="0.25">
      <c r="A4" s="490" t="s">
        <v>26</v>
      </c>
      <c r="B4" s="1702" t="s">
        <v>840</v>
      </c>
      <c r="C4" s="1703"/>
      <c r="D4" s="1703"/>
      <c r="E4" s="1703"/>
      <c r="F4" s="1703"/>
      <c r="G4" s="1703"/>
      <c r="H4" s="1703"/>
      <c r="I4" s="1703"/>
      <c r="J4" s="1703"/>
      <c r="K4" s="1703"/>
      <c r="L4" s="1703"/>
      <c r="M4" s="1703"/>
      <c r="N4" s="1704"/>
      <c r="O4" s="510" t="s">
        <v>27</v>
      </c>
      <c r="P4" s="491" t="s">
        <v>28</v>
      </c>
    </row>
    <row r="5" spans="1:16" x14ac:dyDescent="0.25">
      <c r="A5" s="492" t="s">
        <v>29</v>
      </c>
      <c r="B5" s="470" t="s">
        <v>853</v>
      </c>
      <c r="C5" s="470" t="s">
        <v>585</v>
      </c>
      <c r="D5" s="470" t="s">
        <v>1307</v>
      </c>
      <c r="E5" s="662" t="s">
        <v>560</v>
      </c>
      <c r="F5" s="470" t="s">
        <v>866</v>
      </c>
      <c r="G5" s="662" t="s">
        <v>620</v>
      </c>
      <c r="H5" s="489" t="s">
        <v>720</v>
      </c>
      <c r="I5" s="487" t="s">
        <v>915</v>
      </c>
      <c r="J5" s="487" t="s">
        <v>1364</v>
      </c>
      <c r="K5" s="487" t="s">
        <v>1385</v>
      </c>
      <c r="L5" s="487" t="s">
        <v>1386</v>
      </c>
      <c r="M5" s="1429" t="s">
        <v>1387</v>
      </c>
      <c r="N5" s="1429" t="s">
        <v>1535</v>
      </c>
      <c r="O5" s="487" t="s">
        <v>30</v>
      </c>
      <c r="P5" s="487" t="s">
        <v>31</v>
      </c>
    </row>
    <row r="6" spans="1:16" x14ac:dyDescent="0.25">
      <c r="A6" s="1177" t="s">
        <v>32</v>
      </c>
      <c r="B6" s="1178">
        <v>12</v>
      </c>
      <c r="C6" s="1178">
        <v>15</v>
      </c>
      <c r="D6" s="1178">
        <v>10</v>
      </c>
      <c r="E6" s="1179">
        <v>5</v>
      </c>
      <c r="F6" s="1178">
        <v>10</v>
      </c>
      <c r="G6" s="1179">
        <v>4</v>
      </c>
      <c r="H6" s="1180">
        <v>17</v>
      </c>
      <c r="I6" s="1180">
        <v>14</v>
      </c>
      <c r="J6" s="1180">
        <v>11</v>
      </c>
      <c r="K6" s="1180">
        <v>12</v>
      </c>
      <c r="L6" s="1180">
        <v>11</v>
      </c>
      <c r="M6" s="1181">
        <v>12</v>
      </c>
      <c r="N6" s="1181">
        <v>10</v>
      </c>
      <c r="O6" s="488">
        <f>AVERAGE(J6:N6)</f>
        <v>11.2</v>
      </c>
      <c r="P6" s="1182">
        <f>+O6/$O$452</f>
        <v>1.8747907599598258E-2</v>
      </c>
    </row>
    <row r="7" spans="1:16" x14ac:dyDescent="0.25">
      <c r="A7" s="1177" t="s">
        <v>33</v>
      </c>
      <c r="B7" s="1178">
        <v>0</v>
      </c>
      <c r="C7" s="1178">
        <v>4</v>
      </c>
      <c r="D7" s="1178">
        <v>2</v>
      </c>
      <c r="E7" s="1179">
        <v>1</v>
      </c>
      <c r="F7" s="1178">
        <v>3</v>
      </c>
      <c r="G7" s="1179">
        <v>1</v>
      </c>
      <c r="H7" s="1180">
        <v>6</v>
      </c>
      <c r="I7" s="1180">
        <v>1</v>
      </c>
      <c r="J7" s="1180">
        <v>0</v>
      </c>
      <c r="K7" s="1180">
        <v>4</v>
      </c>
      <c r="L7" s="1180">
        <v>2</v>
      </c>
      <c r="M7" s="1181">
        <v>2</v>
      </c>
      <c r="N7" s="1181">
        <v>0</v>
      </c>
      <c r="O7" s="488">
        <f>AVERAGE(J7:N7)</f>
        <v>1.6</v>
      </c>
      <c r="P7" s="1182">
        <f>+O7/$O$452</f>
        <v>2.6782725142283229E-3</v>
      </c>
    </row>
    <row r="8" spans="1:16" x14ac:dyDescent="0.25">
      <c r="A8" s="1177" t="s">
        <v>34</v>
      </c>
      <c r="B8" s="1178">
        <v>3</v>
      </c>
      <c r="C8" s="1178">
        <v>5</v>
      </c>
      <c r="D8" s="1178">
        <v>4</v>
      </c>
      <c r="E8" s="1179">
        <v>5</v>
      </c>
      <c r="F8" s="1178">
        <v>9</v>
      </c>
      <c r="G8" s="1179">
        <v>9</v>
      </c>
      <c r="H8" s="1180">
        <v>8</v>
      </c>
      <c r="I8" s="1180">
        <v>1</v>
      </c>
      <c r="J8" s="1180">
        <v>6</v>
      </c>
      <c r="K8" s="1180">
        <v>3</v>
      </c>
      <c r="L8" s="1180">
        <v>3</v>
      </c>
      <c r="M8" s="1181">
        <v>2</v>
      </c>
      <c r="N8" s="1181">
        <v>4</v>
      </c>
      <c r="O8" s="488">
        <f>AVERAGE(J8:N8)</f>
        <v>3.6</v>
      </c>
      <c r="P8" s="1182">
        <f>+O8/$O$452</f>
        <v>6.0261131570137263E-3</v>
      </c>
    </row>
    <row r="9" spans="1:16" s="1183" customFormat="1" x14ac:dyDescent="0.25">
      <c r="A9" s="493" t="s">
        <v>35</v>
      </c>
      <c r="B9" s="471">
        <f t="shared" ref="B9:M9" si="0">SUM(B6:B8)</f>
        <v>15</v>
      </c>
      <c r="C9" s="471">
        <f t="shared" si="0"/>
        <v>24</v>
      </c>
      <c r="D9" s="471">
        <f t="shared" si="0"/>
        <v>16</v>
      </c>
      <c r="E9" s="663">
        <f t="shared" si="0"/>
        <v>11</v>
      </c>
      <c r="F9" s="471">
        <f t="shared" si="0"/>
        <v>22</v>
      </c>
      <c r="G9" s="663">
        <f t="shared" si="0"/>
        <v>14</v>
      </c>
      <c r="H9" s="488">
        <f t="shared" si="0"/>
        <v>31</v>
      </c>
      <c r="I9" s="488">
        <f t="shared" si="0"/>
        <v>16</v>
      </c>
      <c r="J9" s="488">
        <f t="shared" si="0"/>
        <v>17</v>
      </c>
      <c r="K9" s="488">
        <f t="shared" si="0"/>
        <v>19</v>
      </c>
      <c r="L9" s="488">
        <f t="shared" si="0"/>
        <v>16</v>
      </c>
      <c r="M9" s="488">
        <f t="shared" si="0"/>
        <v>16</v>
      </c>
      <c r="N9" s="488">
        <f t="shared" ref="N9" si="1">SUM(N6:N8)</f>
        <v>14</v>
      </c>
      <c r="O9" s="488">
        <f>AVERAGE(J9:N9)</f>
        <v>16.399999999999999</v>
      </c>
      <c r="P9" s="494">
        <f>SUM(P6:P8)</f>
        <v>2.7452293270840304E-2</v>
      </c>
    </row>
    <row r="10" spans="1:16" x14ac:dyDescent="0.25">
      <c r="A10" s="492" t="s">
        <v>36</v>
      </c>
      <c r="B10" s="470" t="s">
        <v>853</v>
      </c>
      <c r="C10" s="470" t="s">
        <v>585</v>
      </c>
      <c r="D10" s="470" t="s">
        <v>1307</v>
      </c>
      <c r="E10" s="662" t="s">
        <v>560</v>
      </c>
      <c r="F10" s="470" t="s">
        <v>866</v>
      </c>
      <c r="G10" s="662" t="s">
        <v>620</v>
      </c>
      <c r="H10" s="489" t="s">
        <v>720</v>
      </c>
      <c r="I10" s="487" t="s">
        <v>915</v>
      </c>
      <c r="J10" s="487" t="s">
        <v>1364</v>
      </c>
      <c r="K10" s="487" t="s">
        <v>1385</v>
      </c>
      <c r="L10" s="487" t="s">
        <v>1386</v>
      </c>
      <c r="M10" s="1429" t="s">
        <v>1387</v>
      </c>
      <c r="N10" s="1429" t="s">
        <v>1535</v>
      </c>
      <c r="O10" s="489" t="s">
        <v>30</v>
      </c>
      <c r="P10" s="489" t="s">
        <v>31</v>
      </c>
    </row>
    <row r="11" spans="1:16" s="1185" customFormat="1" x14ac:dyDescent="0.25">
      <c r="A11" s="1184" t="s">
        <v>1411</v>
      </c>
      <c r="B11" s="1178">
        <v>0</v>
      </c>
      <c r="C11" s="1178">
        <v>0</v>
      </c>
      <c r="D11" s="1178">
        <v>0</v>
      </c>
      <c r="E11" s="1178">
        <v>0</v>
      </c>
      <c r="F11" s="1178">
        <v>0</v>
      </c>
      <c r="G11" s="1178">
        <v>0</v>
      </c>
      <c r="H11" s="1178">
        <v>0</v>
      </c>
      <c r="I11" s="1178">
        <v>0</v>
      </c>
      <c r="J11" s="1178">
        <v>1</v>
      </c>
      <c r="K11" s="1178">
        <v>0</v>
      </c>
      <c r="L11" s="1178">
        <v>0</v>
      </c>
      <c r="M11" s="1178">
        <v>0</v>
      </c>
      <c r="N11" s="1178">
        <v>0</v>
      </c>
      <c r="O11" s="488">
        <f t="shared" ref="O11:O23" si="2">AVERAGE(J11:N11)</f>
        <v>0.2</v>
      </c>
      <c r="P11" s="1182">
        <f t="shared" ref="P11:P22" si="3">+O11/$O$452</f>
        <v>3.3478406427854036E-4</v>
      </c>
    </row>
    <row r="12" spans="1:16" x14ac:dyDescent="0.25">
      <c r="A12" s="1186" t="s">
        <v>37</v>
      </c>
      <c r="B12" s="1178">
        <v>9</v>
      </c>
      <c r="C12" s="1178">
        <v>5</v>
      </c>
      <c r="D12" s="1178">
        <v>3</v>
      </c>
      <c r="E12" s="1179">
        <v>3</v>
      </c>
      <c r="F12" s="1178">
        <v>2</v>
      </c>
      <c r="G12" s="1179">
        <v>1</v>
      </c>
      <c r="H12" s="1180">
        <v>2</v>
      </c>
      <c r="I12" s="1180">
        <v>1</v>
      </c>
      <c r="J12" s="1180">
        <v>3</v>
      </c>
      <c r="K12" s="1180">
        <v>2</v>
      </c>
      <c r="L12" s="1180">
        <v>4</v>
      </c>
      <c r="M12" s="1181">
        <v>1</v>
      </c>
      <c r="N12" s="1181">
        <v>7</v>
      </c>
      <c r="O12" s="488">
        <f t="shared" si="2"/>
        <v>3.4</v>
      </c>
      <c r="P12" s="1182">
        <f t="shared" si="3"/>
        <v>5.691329092735186E-3</v>
      </c>
    </row>
    <row r="13" spans="1:16" x14ac:dyDescent="0.25">
      <c r="A13" s="1186" t="s">
        <v>258</v>
      </c>
      <c r="B13" s="1178">
        <v>0</v>
      </c>
      <c r="C13" s="1178"/>
      <c r="D13" s="1178">
        <v>0</v>
      </c>
      <c r="E13" s="1179">
        <v>0</v>
      </c>
      <c r="F13" s="1178">
        <v>0</v>
      </c>
      <c r="G13" s="1179">
        <v>0</v>
      </c>
      <c r="H13" s="1180">
        <v>0</v>
      </c>
      <c r="I13" s="1180">
        <v>1</v>
      </c>
      <c r="J13" s="1180">
        <v>0</v>
      </c>
      <c r="K13" s="1180">
        <v>0</v>
      </c>
      <c r="L13" s="1180">
        <v>0</v>
      </c>
      <c r="M13" s="1181">
        <v>0</v>
      </c>
      <c r="N13" s="1181">
        <v>0</v>
      </c>
      <c r="O13" s="488">
        <f t="shared" si="2"/>
        <v>0</v>
      </c>
      <c r="P13" s="1182">
        <f t="shared" si="3"/>
        <v>0</v>
      </c>
    </row>
    <row r="14" spans="1:16" x14ac:dyDescent="0.25">
      <c r="A14" s="1187" t="s">
        <v>1412</v>
      </c>
      <c r="B14" s="1178">
        <v>0</v>
      </c>
      <c r="C14" s="1178"/>
      <c r="D14" s="1178"/>
      <c r="E14" s="1179">
        <v>0</v>
      </c>
      <c r="F14" s="1178">
        <v>0</v>
      </c>
      <c r="G14" s="1179">
        <v>0</v>
      </c>
      <c r="H14" s="1180">
        <v>0</v>
      </c>
      <c r="I14" s="1180">
        <v>0</v>
      </c>
      <c r="J14" s="1180">
        <v>0</v>
      </c>
      <c r="K14" s="1180">
        <v>0</v>
      </c>
      <c r="L14" s="1180">
        <v>1</v>
      </c>
      <c r="M14" s="1181">
        <v>0</v>
      </c>
      <c r="N14" s="1181">
        <v>0</v>
      </c>
      <c r="O14" s="488">
        <f t="shared" si="2"/>
        <v>0.2</v>
      </c>
      <c r="P14" s="1182">
        <f t="shared" si="3"/>
        <v>3.3478406427854036E-4</v>
      </c>
    </row>
    <row r="15" spans="1:16" x14ac:dyDescent="0.25">
      <c r="A15" s="1187" t="s">
        <v>1413</v>
      </c>
      <c r="B15" s="1178">
        <v>0</v>
      </c>
      <c r="C15" s="1178"/>
      <c r="D15" s="1178"/>
      <c r="E15" s="1179">
        <v>0</v>
      </c>
      <c r="F15" s="1178">
        <v>0</v>
      </c>
      <c r="G15" s="1179">
        <v>0</v>
      </c>
      <c r="H15" s="1180">
        <v>0</v>
      </c>
      <c r="I15" s="1180">
        <v>0</v>
      </c>
      <c r="J15" s="1180">
        <v>0</v>
      </c>
      <c r="K15" s="1180">
        <v>0</v>
      </c>
      <c r="L15" s="1180">
        <v>1</v>
      </c>
      <c r="M15" s="1181">
        <v>0</v>
      </c>
      <c r="N15" s="1181">
        <v>0</v>
      </c>
      <c r="O15" s="488">
        <f t="shared" si="2"/>
        <v>0.2</v>
      </c>
      <c r="P15" s="1182">
        <f t="shared" si="3"/>
        <v>3.3478406427854036E-4</v>
      </c>
    </row>
    <row r="16" spans="1:16" x14ac:dyDescent="0.25">
      <c r="A16" s="1186" t="s">
        <v>721</v>
      </c>
      <c r="B16" s="1178">
        <v>0</v>
      </c>
      <c r="C16" s="1178">
        <v>0</v>
      </c>
      <c r="D16" s="1178">
        <v>0</v>
      </c>
      <c r="E16" s="1179">
        <v>0</v>
      </c>
      <c r="F16" s="1178">
        <v>0</v>
      </c>
      <c r="G16" s="1179">
        <v>0</v>
      </c>
      <c r="H16" s="1180">
        <v>1</v>
      </c>
      <c r="I16" s="1180">
        <v>0</v>
      </c>
      <c r="J16" s="1180">
        <v>0</v>
      </c>
      <c r="K16" s="1180">
        <v>1</v>
      </c>
      <c r="L16" s="1180">
        <v>0</v>
      </c>
      <c r="M16" s="1181">
        <v>1</v>
      </c>
      <c r="N16" s="1181">
        <v>0</v>
      </c>
      <c r="O16" s="488">
        <f t="shared" si="2"/>
        <v>0.4</v>
      </c>
      <c r="P16" s="1182">
        <f t="shared" si="3"/>
        <v>6.6956812855708072E-4</v>
      </c>
    </row>
    <row r="17" spans="1:16" x14ac:dyDescent="0.25">
      <c r="A17" s="1186" t="s">
        <v>38</v>
      </c>
      <c r="B17" s="1178">
        <v>0</v>
      </c>
      <c r="C17" s="1178">
        <v>1</v>
      </c>
      <c r="D17" s="1178">
        <v>1</v>
      </c>
      <c r="E17" s="1179">
        <v>3</v>
      </c>
      <c r="F17" s="1178">
        <v>1</v>
      </c>
      <c r="G17" s="1179">
        <v>3</v>
      </c>
      <c r="H17" s="1180">
        <v>1</v>
      </c>
      <c r="I17" s="1180">
        <v>5</v>
      </c>
      <c r="J17" s="1180">
        <v>1</v>
      </c>
      <c r="K17" s="1180">
        <v>4</v>
      </c>
      <c r="L17" s="1180">
        <v>5</v>
      </c>
      <c r="M17" s="1181">
        <v>1</v>
      </c>
      <c r="N17" s="1181">
        <v>1</v>
      </c>
      <c r="O17" s="488">
        <f t="shared" si="2"/>
        <v>2.4</v>
      </c>
      <c r="P17" s="1182">
        <f t="shared" si="3"/>
        <v>4.0174087713424839E-3</v>
      </c>
    </row>
    <row r="18" spans="1:16" x14ac:dyDescent="0.25">
      <c r="A18" s="1186" t="s">
        <v>39</v>
      </c>
      <c r="B18" s="1178">
        <v>4</v>
      </c>
      <c r="C18" s="1178">
        <v>4</v>
      </c>
      <c r="D18" s="1178">
        <v>10</v>
      </c>
      <c r="E18" s="1179">
        <v>1</v>
      </c>
      <c r="F18" s="1178">
        <v>5</v>
      </c>
      <c r="G18" s="1179">
        <v>6</v>
      </c>
      <c r="H18" s="1180">
        <v>4</v>
      </c>
      <c r="I18" s="1180">
        <v>4</v>
      </c>
      <c r="J18" s="1180">
        <v>4</v>
      </c>
      <c r="K18" s="1180">
        <v>2</v>
      </c>
      <c r="L18" s="1180">
        <v>7</v>
      </c>
      <c r="M18" s="1181">
        <v>4</v>
      </c>
      <c r="N18" s="1181">
        <v>3</v>
      </c>
      <c r="O18" s="488">
        <f t="shared" si="2"/>
        <v>4</v>
      </c>
      <c r="P18" s="1182">
        <f t="shared" si="3"/>
        <v>6.6956812855708068E-3</v>
      </c>
    </row>
    <row r="19" spans="1:16" x14ac:dyDescent="0.25">
      <c r="A19" s="1186" t="s">
        <v>40</v>
      </c>
      <c r="B19" s="1178">
        <v>0</v>
      </c>
      <c r="C19" s="1178">
        <v>0</v>
      </c>
      <c r="D19" s="1178">
        <v>1</v>
      </c>
      <c r="E19" s="1179">
        <v>1</v>
      </c>
      <c r="F19" s="1178">
        <v>0</v>
      </c>
      <c r="G19" s="1179">
        <v>2</v>
      </c>
      <c r="H19" s="1180">
        <v>0</v>
      </c>
      <c r="I19" s="1180">
        <v>0</v>
      </c>
      <c r="J19" s="1180">
        <v>0</v>
      </c>
      <c r="K19" s="1180">
        <v>3</v>
      </c>
      <c r="L19" s="1180">
        <v>0</v>
      </c>
      <c r="M19" s="1181">
        <v>0</v>
      </c>
      <c r="N19" s="1181">
        <v>0</v>
      </c>
      <c r="O19" s="488">
        <f t="shared" si="2"/>
        <v>0.6</v>
      </c>
      <c r="P19" s="1182">
        <f t="shared" si="3"/>
        <v>1.004352192835621E-3</v>
      </c>
    </row>
    <row r="20" spans="1:16" x14ac:dyDescent="0.25">
      <c r="A20" s="1186" t="s">
        <v>41</v>
      </c>
      <c r="B20" s="1178">
        <v>0</v>
      </c>
      <c r="C20" s="1178">
        <v>1</v>
      </c>
      <c r="D20" s="1178">
        <v>1</v>
      </c>
      <c r="E20" s="1179">
        <v>0</v>
      </c>
      <c r="F20" s="1178">
        <v>1</v>
      </c>
      <c r="G20" s="1179">
        <v>0</v>
      </c>
      <c r="H20" s="1180">
        <v>0</v>
      </c>
      <c r="I20" s="1180">
        <v>3</v>
      </c>
      <c r="J20" s="1180">
        <v>0</v>
      </c>
      <c r="K20" s="1180">
        <v>2</v>
      </c>
      <c r="L20" s="1180">
        <v>0</v>
      </c>
      <c r="M20" s="1181">
        <v>2</v>
      </c>
      <c r="N20" s="1181">
        <v>2</v>
      </c>
      <c r="O20" s="488">
        <f t="shared" si="2"/>
        <v>1.2</v>
      </c>
      <c r="P20" s="1182">
        <f t="shared" si="3"/>
        <v>2.0087043856712419E-3</v>
      </c>
    </row>
    <row r="21" spans="1:16" x14ac:dyDescent="0.25">
      <c r="A21" s="1186" t="s">
        <v>42</v>
      </c>
      <c r="B21" s="1178">
        <v>3</v>
      </c>
      <c r="C21" s="1178">
        <v>2</v>
      </c>
      <c r="D21" s="1178">
        <v>1</v>
      </c>
      <c r="E21" s="1179">
        <v>0</v>
      </c>
      <c r="F21" s="1178">
        <v>2</v>
      </c>
      <c r="G21" s="1179">
        <v>0</v>
      </c>
      <c r="H21" s="1180">
        <v>1</v>
      </c>
      <c r="I21" s="1180">
        <v>0</v>
      </c>
      <c r="J21" s="1180">
        <v>3</v>
      </c>
      <c r="K21" s="1180">
        <v>3</v>
      </c>
      <c r="L21" s="1180">
        <v>2</v>
      </c>
      <c r="M21" s="1181">
        <v>2</v>
      </c>
      <c r="N21" s="1181">
        <v>5</v>
      </c>
      <c r="O21" s="488">
        <f t="shared" si="2"/>
        <v>3</v>
      </c>
      <c r="P21" s="1182">
        <f t="shared" si="3"/>
        <v>5.0217609641781055E-3</v>
      </c>
    </row>
    <row r="22" spans="1:16" x14ac:dyDescent="0.25">
      <c r="A22" s="1186" t="s">
        <v>44</v>
      </c>
      <c r="B22" s="1178">
        <v>0</v>
      </c>
      <c r="C22" s="1178">
        <v>0</v>
      </c>
      <c r="D22" s="1178">
        <v>0</v>
      </c>
      <c r="E22" s="1179">
        <v>0</v>
      </c>
      <c r="F22" s="1178">
        <v>0</v>
      </c>
      <c r="G22" s="1179">
        <v>0</v>
      </c>
      <c r="H22" s="1180">
        <v>1</v>
      </c>
      <c r="I22" s="1180">
        <v>0</v>
      </c>
      <c r="J22" s="1180">
        <v>1</v>
      </c>
      <c r="K22" s="1180">
        <v>0</v>
      </c>
      <c r="L22" s="1180">
        <v>0</v>
      </c>
      <c r="M22" s="1180">
        <v>0</v>
      </c>
      <c r="N22" s="1180">
        <v>0</v>
      </c>
      <c r="O22" s="488">
        <f t="shared" si="2"/>
        <v>0.2</v>
      </c>
      <c r="P22" s="1182">
        <f t="shared" si="3"/>
        <v>3.3478406427854036E-4</v>
      </c>
    </row>
    <row r="23" spans="1:16" x14ac:dyDescent="0.25">
      <c r="A23" s="495" t="s">
        <v>35</v>
      </c>
      <c r="B23" s="471">
        <f t="shared" ref="B23:H23" si="4">SUM(B12:B22)</f>
        <v>16</v>
      </c>
      <c r="C23" s="471">
        <f t="shared" si="4"/>
        <v>13</v>
      </c>
      <c r="D23" s="471">
        <f t="shared" si="4"/>
        <v>17</v>
      </c>
      <c r="E23" s="663">
        <f t="shared" si="4"/>
        <v>8</v>
      </c>
      <c r="F23" s="471">
        <f t="shared" si="4"/>
        <v>11</v>
      </c>
      <c r="G23" s="663">
        <f t="shared" si="4"/>
        <v>12</v>
      </c>
      <c r="H23" s="488">
        <f t="shared" si="4"/>
        <v>10</v>
      </c>
      <c r="I23" s="488">
        <f t="shared" ref="I23:N23" si="5">SUM(I11:I22)</f>
        <v>14</v>
      </c>
      <c r="J23" s="488">
        <f t="shared" si="5"/>
        <v>13</v>
      </c>
      <c r="K23" s="488">
        <f t="shared" si="5"/>
        <v>17</v>
      </c>
      <c r="L23" s="488">
        <f t="shared" si="5"/>
        <v>20</v>
      </c>
      <c r="M23" s="488">
        <f t="shared" si="5"/>
        <v>11</v>
      </c>
      <c r="N23" s="488">
        <f t="shared" si="5"/>
        <v>18</v>
      </c>
      <c r="O23" s="488">
        <f t="shared" si="2"/>
        <v>15.8</v>
      </c>
      <c r="P23" s="494">
        <f>SUM(P11:P22)</f>
        <v>2.6447941078004689E-2</v>
      </c>
    </row>
    <row r="24" spans="1:16" x14ac:dyDescent="0.25">
      <c r="A24" s="492" t="s">
        <v>45</v>
      </c>
      <c r="B24" s="470" t="s">
        <v>853</v>
      </c>
      <c r="C24" s="470" t="s">
        <v>585</v>
      </c>
      <c r="D24" s="470" t="s">
        <v>1307</v>
      </c>
      <c r="E24" s="662" t="s">
        <v>560</v>
      </c>
      <c r="F24" s="470" t="s">
        <v>866</v>
      </c>
      <c r="G24" s="662" t="s">
        <v>620</v>
      </c>
      <c r="H24" s="489" t="s">
        <v>1414</v>
      </c>
      <c r="I24" s="487" t="s">
        <v>915</v>
      </c>
      <c r="J24" s="487" t="s">
        <v>1364</v>
      </c>
      <c r="K24" s="487" t="s">
        <v>1385</v>
      </c>
      <c r="L24" s="487" t="s">
        <v>1386</v>
      </c>
      <c r="M24" s="1429" t="s">
        <v>1387</v>
      </c>
      <c r="N24" s="1429" t="s">
        <v>1535</v>
      </c>
      <c r="O24" s="489" t="s">
        <v>30</v>
      </c>
      <c r="P24" s="489" t="s">
        <v>31</v>
      </c>
    </row>
    <row r="25" spans="1:16" x14ac:dyDescent="0.25">
      <c r="A25" s="1186" t="s">
        <v>46</v>
      </c>
      <c r="B25" s="1178">
        <v>0</v>
      </c>
      <c r="C25" s="1178">
        <v>0</v>
      </c>
      <c r="D25" s="1178">
        <v>0</v>
      </c>
      <c r="E25" s="1179">
        <v>2</v>
      </c>
      <c r="F25" s="1178">
        <v>0</v>
      </c>
      <c r="G25" s="1179">
        <v>0</v>
      </c>
      <c r="H25" s="1180">
        <v>0</v>
      </c>
      <c r="I25" s="1180">
        <v>0</v>
      </c>
      <c r="J25" s="1180">
        <v>0</v>
      </c>
      <c r="K25" s="1180">
        <v>0</v>
      </c>
      <c r="L25" s="1180">
        <v>0</v>
      </c>
      <c r="M25" s="1180">
        <v>0</v>
      </c>
      <c r="N25" s="1180">
        <v>0</v>
      </c>
      <c r="O25" s="488">
        <f t="shared" ref="O25:O26" si="6">AVERAGE(J25:N25)</f>
        <v>0</v>
      </c>
      <c r="P25" s="1182">
        <f>+O25/$O$452</f>
        <v>0</v>
      </c>
    </row>
    <row r="26" spans="1:16" s="1183" customFormat="1" x14ac:dyDescent="0.25">
      <c r="A26" s="493" t="s">
        <v>35</v>
      </c>
      <c r="B26" s="471">
        <f t="shared" ref="B26:H26" si="7">+B25</f>
        <v>0</v>
      </c>
      <c r="C26" s="471">
        <f t="shared" si="7"/>
        <v>0</v>
      </c>
      <c r="D26" s="471">
        <f t="shared" si="7"/>
        <v>0</v>
      </c>
      <c r="E26" s="663">
        <f t="shared" si="7"/>
        <v>2</v>
      </c>
      <c r="F26" s="471">
        <f t="shared" si="7"/>
        <v>0</v>
      </c>
      <c r="G26" s="663">
        <f t="shared" si="7"/>
        <v>0</v>
      </c>
      <c r="H26" s="488">
        <f t="shared" si="7"/>
        <v>0</v>
      </c>
      <c r="I26" s="488">
        <f t="shared" ref="I26:N26" si="8">SUM(I25)</f>
        <v>0</v>
      </c>
      <c r="J26" s="488">
        <f t="shared" si="8"/>
        <v>0</v>
      </c>
      <c r="K26" s="488">
        <f t="shared" si="8"/>
        <v>0</v>
      </c>
      <c r="L26" s="488">
        <f t="shared" si="8"/>
        <v>0</v>
      </c>
      <c r="M26" s="488">
        <f t="shared" si="8"/>
        <v>0</v>
      </c>
      <c r="N26" s="488">
        <f t="shared" si="8"/>
        <v>0</v>
      </c>
      <c r="O26" s="488">
        <f t="shared" si="6"/>
        <v>0</v>
      </c>
      <c r="P26" s="494">
        <f>SUM(P25)</f>
        <v>0</v>
      </c>
    </row>
    <row r="27" spans="1:16" x14ac:dyDescent="0.25">
      <c r="A27" s="492" t="s">
        <v>47</v>
      </c>
      <c r="B27" s="470" t="s">
        <v>853</v>
      </c>
      <c r="C27" s="470" t="s">
        <v>585</v>
      </c>
      <c r="D27" s="470" t="s">
        <v>1307</v>
      </c>
      <c r="E27" s="662" t="s">
        <v>560</v>
      </c>
      <c r="F27" s="470" t="s">
        <v>866</v>
      </c>
      <c r="G27" s="662" t="s">
        <v>620</v>
      </c>
      <c r="H27" s="489" t="s">
        <v>720</v>
      </c>
      <c r="I27" s="487" t="s">
        <v>915</v>
      </c>
      <c r="J27" s="487" t="s">
        <v>1364</v>
      </c>
      <c r="K27" s="487" t="s">
        <v>1385</v>
      </c>
      <c r="L27" s="487" t="s">
        <v>1386</v>
      </c>
      <c r="M27" s="1429" t="s">
        <v>1387</v>
      </c>
      <c r="N27" s="1429" t="s">
        <v>1535</v>
      </c>
      <c r="O27" s="489" t="s">
        <v>30</v>
      </c>
      <c r="P27" s="489" t="s">
        <v>31</v>
      </c>
    </row>
    <row r="28" spans="1:16" x14ac:dyDescent="0.25">
      <c r="A28" s="1187" t="s">
        <v>1415</v>
      </c>
      <c r="B28" s="1178">
        <v>11</v>
      </c>
      <c r="C28" s="1178">
        <v>1</v>
      </c>
      <c r="D28" s="1178">
        <v>18</v>
      </c>
      <c r="E28" s="1179">
        <v>0</v>
      </c>
      <c r="F28" s="1178">
        <v>0</v>
      </c>
      <c r="G28" s="1179">
        <v>0</v>
      </c>
      <c r="H28" s="1180">
        <v>0</v>
      </c>
      <c r="I28" s="1180">
        <v>0</v>
      </c>
      <c r="J28" s="1180">
        <v>0</v>
      </c>
      <c r="K28" s="1180">
        <v>0</v>
      </c>
      <c r="L28" s="1180">
        <v>1</v>
      </c>
      <c r="M28" s="1181">
        <v>1</v>
      </c>
      <c r="N28" s="1181">
        <v>0</v>
      </c>
      <c r="O28" s="488">
        <f t="shared" ref="O28:O38" si="9">AVERAGE(J28:N28)</f>
        <v>0.4</v>
      </c>
      <c r="P28" s="1182">
        <f t="shared" ref="P28:P37" si="10">+O28/$O$452</f>
        <v>6.6956812855708072E-4</v>
      </c>
    </row>
    <row r="29" spans="1:16" x14ac:dyDescent="0.25">
      <c r="A29" s="1186" t="s">
        <v>48</v>
      </c>
      <c r="B29" s="1178">
        <v>11</v>
      </c>
      <c r="C29" s="1178">
        <v>1</v>
      </c>
      <c r="D29" s="1178">
        <v>18</v>
      </c>
      <c r="E29" s="1179">
        <v>11</v>
      </c>
      <c r="F29" s="1178">
        <v>12</v>
      </c>
      <c r="G29" s="1179">
        <v>17</v>
      </c>
      <c r="H29" s="1180">
        <v>18</v>
      </c>
      <c r="I29" s="1180">
        <v>17</v>
      </c>
      <c r="J29" s="1180">
        <v>10</v>
      </c>
      <c r="K29" s="1180">
        <v>15</v>
      </c>
      <c r="L29" s="1180">
        <v>17</v>
      </c>
      <c r="M29" s="1181">
        <v>12</v>
      </c>
      <c r="N29" s="1181">
        <v>11</v>
      </c>
      <c r="O29" s="488">
        <f t="shared" si="9"/>
        <v>13</v>
      </c>
      <c r="P29" s="1182">
        <f t="shared" si="10"/>
        <v>2.1760964178105122E-2</v>
      </c>
    </row>
    <row r="30" spans="1:16" x14ac:dyDescent="0.25">
      <c r="A30" s="1186" t="s">
        <v>49</v>
      </c>
      <c r="B30" s="1178">
        <v>0</v>
      </c>
      <c r="C30" s="1178">
        <v>0</v>
      </c>
      <c r="D30" s="1178">
        <v>0</v>
      </c>
      <c r="E30" s="1179">
        <v>0</v>
      </c>
      <c r="F30" s="1178">
        <v>0</v>
      </c>
      <c r="G30" s="1179">
        <v>0</v>
      </c>
      <c r="H30" s="1180">
        <v>0</v>
      </c>
      <c r="I30" s="1180">
        <v>0</v>
      </c>
      <c r="J30" s="1180">
        <v>1</v>
      </c>
      <c r="K30" s="1180">
        <v>0</v>
      </c>
      <c r="L30" s="1180">
        <v>0</v>
      </c>
      <c r="M30" s="1181">
        <v>0</v>
      </c>
      <c r="N30" s="1181">
        <v>0</v>
      </c>
      <c r="O30" s="488">
        <f t="shared" si="9"/>
        <v>0.2</v>
      </c>
      <c r="P30" s="1182">
        <f t="shared" si="10"/>
        <v>3.3478406427854036E-4</v>
      </c>
    </row>
    <row r="31" spans="1:16" x14ac:dyDescent="0.25">
      <c r="A31" s="1186" t="s">
        <v>50</v>
      </c>
      <c r="B31" s="1178">
        <v>2</v>
      </c>
      <c r="C31" s="1178">
        <v>2</v>
      </c>
      <c r="D31" s="1178">
        <v>2</v>
      </c>
      <c r="E31" s="1179">
        <v>3</v>
      </c>
      <c r="F31" s="1178">
        <v>6</v>
      </c>
      <c r="G31" s="1179">
        <v>7</v>
      </c>
      <c r="H31" s="1180">
        <v>1</v>
      </c>
      <c r="I31" s="1180">
        <v>1</v>
      </c>
      <c r="J31" s="1180">
        <v>8</v>
      </c>
      <c r="K31" s="1180">
        <v>4</v>
      </c>
      <c r="L31" s="1180">
        <v>11</v>
      </c>
      <c r="M31" s="1181">
        <v>6</v>
      </c>
      <c r="N31" s="1181">
        <v>8</v>
      </c>
      <c r="O31" s="488">
        <f t="shared" si="9"/>
        <v>7.4</v>
      </c>
      <c r="P31" s="1182">
        <f t="shared" si="10"/>
        <v>1.2387010378305995E-2</v>
      </c>
    </row>
    <row r="32" spans="1:16" x14ac:dyDescent="0.25">
      <c r="A32" s="1186" t="s">
        <v>51</v>
      </c>
      <c r="B32" s="1178">
        <v>0</v>
      </c>
      <c r="C32" s="1178">
        <v>0</v>
      </c>
      <c r="D32" s="1178">
        <v>0</v>
      </c>
      <c r="E32" s="1179">
        <v>0</v>
      </c>
      <c r="F32" s="1178">
        <v>0</v>
      </c>
      <c r="G32" s="1179">
        <v>0</v>
      </c>
      <c r="H32" s="1180">
        <v>0</v>
      </c>
      <c r="I32" s="1180">
        <v>0</v>
      </c>
      <c r="J32" s="1180">
        <v>0</v>
      </c>
      <c r="K32" s="1180">
        <v>0</v>
      </c>
      <c r="L32" s="1180">
        <v>0</v>
      </c>
      <c r="M32" s="1181">
        <v>0</v>
      </c>
      <c r="N32" s="1181">
        <v>0</v>
      </c>
      <c r="O32" s="488">
        <f t="shared" si="9"/>
        <v>0</v>
      </c>
      <c r="P32" s="1182">
        <f t="shared" si="10"/>
        <v>0</v>
      </c>
    </row>
    <row r="33" spans="1:16" x14ac:dyDescent="0.25">
      <c r="A33" s="1186" t="s">
        <v>52</v>
      </c>
      <c r="B33" s="1178">
        <v>0</v>
      </c>
      <c r="C33" s="1178">
        <v>0</v>
      </c>
      <c r="D33" s="1178">
        <v>0</v>
      </c>
      <c r="E33" s="1179">
        <v>0</v>
      </c>
      <c r="F33" s="1178">
        <v>1</v>
      </c>
      <c r="G33" s="1179">
        <v>0</v>
      </c>
      <c r="H33" s="1180">
        <v>0</v>
      </c>
      <c r="I33" s="1180">
        <v>0</v>
      </c>
      <c r="J33" s="1180">
        <v>0</v>
      </c>
      <c r="K33" s="1180">
        <v>1</v>
      </c>
      <c r="L33" s="1180">
        <v>0</v>
      </c>
      <c r="M33" s="1181">
        <v>0</v>
      </c>
      <c r="N33" s="1181">
        <v>0</v>
      </c>
      <c r="O33" s="488">
        <f t="shared" si="9"/>
        <v>0.2</v>
      </c>
      <c r="P33" s="1182">
        <f t="shared" si="10"/>
        <v>3.3478406427854036E-4</v>
      </c>
    </row>
    <row r="34" spans="1:16" x14ac:dyDescent="0.25">
      <c r="A34" s="1186" t="s">
        <v>53</v>
      </c>
      <c r="B34" s="1178">
        <v>4</v>
      </c>
      <c r="C34" s="1178">
        <v>6</v>
      </c>
      <c r="D34" s="1178">
        <v>3</v>
      </c>
      <c r="E34" s="1179">
        <v>9</v>
      </c>
      <c r="F34" s="1178">
        <v>3</v>
      </c>
      <c r="G34" s="1179">
        <v>8</v>
      </c>
      <c r="H34" s="1180">
        <v>7</v>
      </c>
      <c r="I34" s="1180">
        <v>5</v>
      </c>
      <c r="J34" s="1180">
        <v>3</v>
      </c>
      <c r="K34" s="1180">
        <v>4</v>
      </c>
      <c r="L34" s="1180">
        <v>8</v>
      </c>
      <c r="M34" s="1181">
        <v>9</v>
      </c>
      <c r="N34" s="1181">
        <v>2</v>
      </c>
      <c r="O34" s="488">
        <f t="shared" si="9"/>
        <v>5.2</v>
      </c>
      <c r="P34" s="1182">
        <f t="shared" si="10"/>
        <v>8.70438567124205E-3</v>
      </c>
    </row>
    <row r="35" spans="1:16" x14ac:dyDescent="0.25">
      <c r="A35" s="1186" t="s">
        <v>56</v>
      </c>
      <c r="B35" s="1178">
        <v>0</v>
      </c>
      <c r="C35" s="1178">
        <v>1</v>
      </c>
      <c r="D35" s="1178">
        <v>1</v>
      </c>
      <c r="E35" s="1179">
        <v>1</v>
      </c>
      <c r="F35" s="1178">
        <v>7</v>
      </c>
      <c r="G35" s="1179">
        <v>3</v>
      </c>
      <c r="H35" s="1180">
        <v>5</v>
      </c>
      <c r="I35" s="1180">
        <v>3</v>
      </c>
      <c r="J35" s="1180">
        <v>7</v>
      </c>
      <c r="K35" s="1180">
        <v>1</v>
      </c>
      <c r="L35" s="1180">
        <v>8</v>
      </c>
      <c r="M35" s="1181">
        <v>5</v>
      </c>
      <c r="N35" s="1181">
        <v>4</v>
      </c>
      <c r="O35" s="488">
        <f t="shared" si="9"/>
        <v>5</v>
      </c>
      <c r="P35" s="1182">
        <f t="shared" si="10"/>
        <v>8.3696016069635081E-3</v>
      </c>
    </row>
    <row r="36" spans="1:16" x14ac:dyDescent="0.25">
      <c r="A36" s="1186" t="s">
        <v>57</v>
      </c>
      <c r="B36" s="1178">
        <v>3</v>
      </c>
      <c r="C36" s="1178">
        <v>13</v>
      </c>
      <c r="D36" s="1178">
        <v>13</v>
      </c>
      <c r="E36" s="1179">
        <v>12</v>
      </c>
      <c r="F36" s="1178">
        <v>11</v>
      </c>
      <c r="G36" s="1179">
        <v>10</v>
      </c>
      <c r="H36" s="1180">
        <v>7</v>
      </c>
      <c r="I36" s="1180">
        <v>4</v>
      </c>
      <c r="J36" s="1180">
        <v>6</v>
      </c>
      <c r="K36" s="1180">
        <v>11</v>
      </c>
      <c r="L36" s="1180">
        <v>6</v>
      </c>
      <c r="M36" s="1181">
        <v>8</v>
      </c>
      <c r="N36" s="1181">
        <v>6</v>
      </c>
      <c r="O36" s="488">
        <f t="shared" si="9"/>
        <v>7.4</v>
      </c>
      <c r="P36" s="1182">
        <f t="shared" si="10"/>
        <v>1.2387010378305995E-2</v>
      </c>
    </row>
    <row r="37" spans="1:16" x14ac:dyDescent="0.25">
      <c r="A37" s="1186" t="s">
        <v>58</v>
      </c>
      <c r="B37" s="1178">
        <v>2</v>
      </c>
      <c r="C37" s="1178">
        <v>5</v>
      </c>
      <c r="D37" s="1178">
        <v>8</v>
      </c>
      <c r="E37" s="1179">
        <v>17</v>
      </c>
      <c r="F37" s="1178">
        <v>8</v>
      </c>
      <c r="G37" s="1179">
        <v>3</v>
      </c>
      <c r="H37" s="1180">
        <v>4</v>
      </c>
      <c r="I37" s="1180">
        <v>2</v>
      </c>
      <c r="J37" s="1180">
        <v>3</v>
      </c>
      <c r="K37" s="1180">
        <v>6</v>
      </c>
      <c r="L37" s="1180">
        <v>6</v>
      </c>
      <c r="M37" s="1181">
        <v>14</v>
      </c>
      <c r="N37" s="1181">
        <v>12</v>
      </c>
      <c r="O37" s="488">
        <f t="shared" si="9"/>
        <v>8.1999999999999993</v>
      </c>
      <c r="P37" s="1182">
        <f t="shared" si="10"/>
        <v>1.3726146635420154E-2</v>
      </c>
    </row>
    <row r="38" spans="1:16" x14ac:dyDescent="0.25">
      <c r="A38" s="495" t="s">
        <v>35</v>
      </c>
      <c r="B38" s="471">
        <f t="shared" ref="B38:I38" si="11">SUM(B28:B37)</f>
        <v>33</v>
      </c>
      <c r="C38" s="471">
        <f t="shared" si="11"/>
        <v>29</v>
      </c>
      <c r="D38" s="471">
        <f t="shared" si="11"/>
        <v>63</v>
      </c>
      <c r="E38" s="663">
        <f t="shared" si="11"/>
        <v>53</v>
      </c>
      <c r="F38" s="471">
        <f t="shared" si="11"/>
        <v>48</v>
      </c>
      <c r="G38" s="663">
        <f t="shared" si="11"/>
        <v>48</v>
      </c>
      <c r="H38" s="488">
        <f t="shared" si="11"/>
        <v>42</v>
      </c>
      <c r="I38" s="488">
        <f t="shared" si="11"/>
        <v>32</v>
      </c>
      <c r="J38" s="488">
        <f>SUM(J28:J37)</f>
        <v>38</v>
      </c>
      <c r="K38" s="488">
        <f>SUM(K28:K37)</f>
        <v>42</v>
      </c>
      <c r="L38" s="488">
        <f>SUM(L28:L37)</f>
        <v>57</v>
      </c>
      <c r="M38" s="488">
        <f>SUM(M28:M37)</f>
        <v>55</v>
      </c>
      <c r="N38" s="488">
        <f>SUM(N28:N37)</f>
        <v>43</v>
      </c>
      <c r="O38" s="488">
        <f t="shared" si="9"/>
        <v>47</v>
      </c>
      <c r="P38" s="494">
        <f>SUM(P28:P37)</f>
        <v>7.8674255105456975E-2</v>
      </c>
    </row>
    <row r="39" spans="1:16" x14ac:dyDescent="0.25">
      <c r="A39" s="492" t="s">
        <v>59</v>
      </c>
      <c r="B39" s="470" t="s">
        <v>853</v>
      </c>
      <c r="C39" s="470" t="s">
        <v>585</v>
      </c>
      <c r="D39" s="470" t="s">
        <v>1307</v>
      </c>
      <c r="E39" s="662" t="s">
        <v>560</v>
      </c>
      <c r="F39" s="470" t="s">
        <v>866</v>
      </c>
      <c r="G39" s="662" t="s">
        <v>620</v>
      </c>
      <c r="H39" s="489" t="s">
        <v>720</v>
      </c>
      <c r="I39" s="487" t="s">
        <v>915</v>
      </c>
      <c r="J39" s="487" t="s">
        <v>1364</v>
      </c>
      <c r="K39" s="487" t="s">
        <v>1385</v>
      </c>
      <c r="L39" s="487" t="s">
        <v>1386</v>
      </c>
      <c r="M39" s="1429" t="s">
        <v>1387</v>
      </c>
      <c r="N39" s="1429" t="s">
        <v>1535</v>
      </c>
      <c r="O39" s="489" t="s">
        <v>30</v>
      </c>
      <c r="P39" s="489" t="s">
        <v>31</v>
      </c>
    </row>
    <row r="40" spans="1:16" x14ac:dyDescent="0.25">
      <c r="A40" s="1186" t="s">
        <v>235</v>
      </c>
      <c r="B40" s="1178">
        <v>1</v>
      </c>
      <c r="C40" s="1178">
        <v>0</v>
      </c>
      <c r="D40" s="1178">
        <v>0</v>
      </c>
      <c r="E40" s="1179">
        <v>2</v>
      </c>
      <c r="F40" s="1178">
        <v>1</v>
      </c>
      <c r="G40" s="1179">
        <v>1</v>
      </c>
      <c r="H40" s="1180">
        <v>1</v>
      </c>
      <c r="I40" s="1180">
        <v>0</v>
      </c>
      <c r="J40" s="1180">
        <v>2</v>
      </c>
      <c r="K40" s="1180">
        <v>1</v>
      </c>
      <c r="L40" s="1180">
        <v>2</v>
      </c>
      <c r="M40" s="1181">
        <v>3</v>
      </c>
      <c r="N40" s="1181">
        <v>1</v>
      </c>
      <c r="O40" s="488">
        <f t="shared" ref="O40:O43" si="12">AVERAGE(J40:N40)</f>
        <v>1.8</v>
      </c>
      <c r="P40" s="1182">
        <f>+O40/$O$452</f>
        <v>3.0130565785068631E-3</v>
      </c>
    </row>
    <row r="41" spans="1:16" x14ac:dyDescent="0.25">
      <c r="A41" s="1188" t="s">
        <v>60</v>
      </c>
      <c r="B41" s="1189">
        <v>0</v>
      </c>
      <c r="C41" s="1189">
        <v>0</v>
      </c>
      <c r="D41" s="1189">
        <v>0</v>
      </c>
      <c r="E41" s="1190">
        <v>0</v>
      </c>
      <c r="F41" s="1189">
        <v>1</v>
      </c>
      <c r="G41" s="1190">
        <v>0</v>
      </c>
      <c r="H41" s="1191">
        <v>0</v>
      </c>
      <c r="I41" s="1191">
        <v>1</v>
      </c>
      <c r="J41" s="1191">
        <v>0</v>
      </c>
      <c r="K41" s="1191">
        <v>3</v>
      </c>
      <c r="L41" s="1191">
        <v>0</v>
      </c>
      <c r="M41" s="1191">
        <v>0</v>
      </c>
      <c r="N41" s="1191">
        <v>0</v>
      </c>
      <c r="O41" s="488">
        <f t="shared" si="12"/>
        <v>0.6</v>
      </c>
      <c r="P41" s="1182">
        <f>+O41/$O$452</f>
        <v>1.004352192835621E-3</v>
      </c>
    </row>
    <row r="42" spans="1:16" x14ac:dyDescent="0.25">
      <c r="A42" s="1186" t="s">
        <v>61</v>
      </c>
      <c r="B42" s="1178">
        <v>0</v>
      </c>
      <c r="C42" s="1178">
        <v>0</v>
      </c>
      <c r="D42" s="1178">
        <v>1</v>
      </c>
      <c r="E42" s="1179">
        <v>0</v>
      </c>
      <c r="F42" s="1178">
        <v>2</v>
      </c>
      <c r="G42" s="1179">
        <v>0</v>
      </c>
      <c r="H42" s="1180">
        <v>0</v>
      </c>
      <c r="I42" s="1180">
        <v>0</v>
      </c>
      <c r="J42" s="1180">
        <v>1</v>
      </c>
      <c r="K42" s="1180">
        <v>0</v>
      </c>
      <c r="L42" s="1180">
        <v>0</v>
      </c>
      <c r="M42" s="1180">
        <v>0</v>
      </c>
      <c r="N42" s="1180">
        <v>0</v>
      </c>
      <c r="O42" s="488">
        <f t="shared" si="12"/>
        <v>0.2</v>
      </c>
      <c r="P42" s="1182">
        <f>+O42/$O$452</f>
        <v>3.3478406427854036E-4</v>
      </c>
    </row>
    <row r="43" spans="1:16" x14ac:dyDescent="0.25">
      <c r="A43" s="495" t="s">
        <v>35</v>
      </c>
      <c r="B43" s="471">
        <f>SUM(B41:B42)</f>
        <v>0</v>
      </c>
      <c r="C43" s="471">
        <f>SUM(C41:C42)</f>
        <v>0</v>
      </c>
      <c r="D43" s="471">
        <f>SUM(D41:D42)</f>
        <v>1</v>
      </c>
      <c r="E43" s="663">
        <f>SUM(E40:E42)</f>
        <v>2</v>
      </c>
      <c r="F43" s="663">
        <f t="shared" ref="F43:M43" si="13">SUM(F40:F42)</f>
        <v>4</v>
      </c>
      <c r="G43" s="663">
        <f t="shared" si="13"/>
        <v>1</v>
      </c>
      <c r="H43" s="663">
        <f t="shared" si="13"/>
        <v>1</v>
      </c>
      <c r="I43" s="663">
        <f t="shared" si="13"/>
        <v>1</v>
      </c>
      <c r="J43" s="663">
        <f t="shared" si="13"/>
        <v>3</v>
      </c>
      <c r="K43" s="663">
        <f t="shared" si="13"/>
        <v>4</v>
      </c>
      <c r="L43" s="663">
        <f t="shared" si="13"/>
        <v>2</v>
      </c>
      <c r="M43" s="663">
        <f t="shared" si="13"/>
        <v>3</v>
      </c>
      <c r="N43" s="663">
        <f t="shared" ref="N43" si="14">SUM(N40:N42)</f>
        <v>1</v>
      </c>
      <c r="O43" s="488">
        <f t="shared" si="12"/>
        <v>2.6</v>
      </c>
      <c r="P43" s="494">
        <f>SUM(P41:P42)</f>
        <v>1.3391362571141614E-3</v>
      </c>
    </row>
    <row r="44" spans="1:16" x14ac:dyDescent="0.25">
      <c r="A44" s="492" t="s">
        <v>62</v>
      </c>
      <c r="B44" s="470" t="s">
        <v>853</v>
      </c>
      <c r="C44" s="470" t="s">
        <v>585</v>
      </c>
      <c r="D44" s="470" t="s">
        <v>1307</v>
      </c>
      <c r="E44" s="662" t="s">
        <v>560</v>
      </c>
      <c r="F44" s="470" t="s">
        <v>866</v>
      </c>
      <c r="G44" s="662" t="s">
        <v>620</v>
      </c>
      <c r="H44" s="489" t="s">
        <v>720</v>
      </c>
      <c r="I44" s="487" t="s">
        <v>915</v>
      </c>
      <c r="J44" s="487" t="s">
        <v>1364</v>
      </c>
      <c r="K44" s="487" t="s">
        <v>1385</v>
      </c>
      <c r="L44" s="487" t="s">
        <v>1386</v>
      </c>
      <c r="M44" s="1429" t="s">
        <v>1387</v>
      </c>
      <c r="N44" s="1429" t="s">
        <v>1535</v>
      </c>
      <c r="O44" s="489" t="s">
        <v>30</v>
      </c>
      <c r="P44" s="489" t="s">
        <v>31</v>
      </c>
    </row>
    <row r="45" spans="1:16" x14ac:dyDescent="0.25">
      <c r="A45" s="1186" t="s">
        <v>63</v>
      </c>
      <c r="B45" s="1178">
        <v>0</v>
      </c>
      <c r="C45" s="1178">
        <v>4</v>
      </c>
      <c r="D45" s="1178">
        <v>7</v>
      </c>
      <c r="E45" s="1179">
        <v>6</v>
      </c>
      <c r="F45" s="1178">
        <v>7</v>
      </c>
      <c r="G45" s="1179">
        <v>10</v>
      </c>
      <c r="H45" s="1180">
        <v>5</v>
      </c>
      <c r="I45" s="1180">
        <v>1</v>
      </c>
      <c r="J45" s="1180">
        <v>2</v>
      </c>
      <c r="K45" s="1180">
        <v>4</v>
      </c>
      <c r="L45" s="1180">
        <v>1</v>
      </c>
      <c r="M45" s="1181">
        <v>1</v>
      </c>
      <c r="N45" s="1181">
        <v>5</v>
      </c>
      <c r="O45" s="488">
        <f t="shared" ref="O45:O50" si="15">AVERAGE(J45:N45)</f>
        <v>2.6</v>
      </c>
      <c r="P45" s="1182">
        <f>+O45/$O$452</f>
        <v>4.352192835621025E-3</v>
      </c>
    </row>
    <row r="46" spans="1:16" x14ac:dyDescent="0.25">
      <c r="A46" s="1186" t="s">
        <v>722</v>
      </c>
      <c r="B46" s="1178"/>
      <c r="C46" s="1178">
        <v>0</v>
      </c>
      <c r="D46" s="1178">
        <v>0</v>
      </c>
      <c r="E46" s="1179">
        <v>0</v>
      </c>
      <c r="F46" s="1178">
        <v>0</v>
      </c>
      <c r="G46" s="1179">
        <v>0</v>
      </c>
      <c r="H46" s="1180">
        <v>1</v>
      </c>
      <c r="I46" s="1180">
        <v>0</v>
      </c>
      <c r="J46" s="1180">
        <v>0</v>
      </c>
      <c r="K46" s="1180">
        <v>0</v>
      </c>
      <c r="L46" s="1180">
        <v>0</v>
      </c>
      <c r="M46" s="1181">
        <v>0</v>
      </c>
      <c r="N46" s="1181">
        <v>0</v>
      </c>
      <c r="O46" s="488">
        <f t="shared" si="15"/>
        <v>0</v>
      </c>
      <c r="P46" s="1182">
        <f>+O46/$O$452</f>
        <v>0</v>
      </c>
    </row>
    <row r="47" spans="1:16" x14ac:dyDescent="0.25">
      <c r="A47" s="1186" t="s">
        <v>64</v>
      </c>
      <c r="B47" s="1178">
        <v>0</v>
      </c>
      <c r="C47" s="1178">
        <v>0</v>
      </c>
      <c r="D47" s="1178">
        <v>1</v>
      </c>
      <c r="E47" s="1179">
        <v>0</v>
      </c>
      <c r="F47" s="1178">
        <v>1</v>
      </c>
      <c r="G47" s="1179">
        <v>2</v>
      </c>
      <c r="H47" s="1180">
        <v>1</v>
      </c>
      <c r="I47" s="1180">
        <v>0</v>
      </c>
      <c r="J47" s="1180">
        <v>0</v>
      </c>
      <c r="K47" s="1180">
        <v>1</v>
      </c>
      <c r="L47" s="1180">
        <v>0</v>
      </c>
      <c r="M47" s="1181">
        <v>3</v>
      </c>
      <c r="N47" s="1181">
        <v>3</v>
      </c>
      <c r="O47" s="488">
        <f t="shared" si="15"/>
        <v>1.4</v>
      </c>
      <c r="P47" s="1182">
        <f>+O47/$O$452</f>
        <v>2.3434884499497822E-3</v>
      </c>
    </row>
    <row r="48" spans="1:16" x14ac:dyDescent="0.25">
      <c r="A48" s="1186" t="s">
        <v>65</v>
      </c>
      <c r="B48" s="1178">
        <v>0</v>
      </c>
      <c r="C48" s="1178">
        <v>0</v>
      </c>
      <c r="D48" s="1178">
        <v>1</v>
      </c>
      <c r="E48" s="1179">
        <v>0</v>
      </c>
      <c r="F48" s="1178">
        <v>0</v>
      </c>
      <c r="G48" s="1179">
        <v>0</v>
      </c>
      <c r="H48" s="1180">
        <v>1</v>
      </c>
      <c r="I48" s="1180">
        <v>0</v>
      </c>
      <c r="J48" s="1180">
        <v>0</v>
      </c>
      <c r="K48" s="1180">
        <v>0</v>
      </c>
      <c r="L48" s="1180">
        <v>1</v>
      </c>
      <c r="M48" s="1181">
        <v>0</v>
      </c>
      <c r="N48" s="1181">
        <v>0</v>
      </c>
      <c r="O48" s="488">
        <f t="shared" si="15"/>
        <v>0.2</v>
      </c>
      <c r="P48" s="1182">
        <f>+O48/$O$452</f>
        <v>3.3478406427854036E-4</v>
      </c>
    </row>
    <row r="49" spans="1:16" x14ac:dyDescent="0.25">
      <c r="A49" s="1186" t="s">
        <v>66</v>
      </c>
      <c r="B49" s="1178">
        <v>0</v>
      </c>
      <c r="C49" s="1178">
        <v>0</v>
      </c>
      <c r="D49" s="1178">
        <v>1</v>
      </c>
      <c r="E49" s="1179">
        <v>2</v>
      </c>
      <c r="F49" s="1178">
        <v>0</v>
      </c>
      <c r="G49" s="1179">
        <v>0</v>
      </c>
      <c r="H49" s="1180">
        <v>4</v>
      </c>
      <c r="I49" s="1180">
        <v>1</v>
      </c>
      <c r="J49" s="1180">
        <v>0</v>
      </c>
      <c r="K49" s="1180">
        <v>3</v>
      </c>
      <c r="L49" s="1180">
        <v>1</v>
      </c>
      <c r="M49" s="1181">
        <v>2</v>
      </c>
      <c r="N49" s="1181">
        <v>1</v>
      </c>
      <c r="O49" s="488">
        <f t="shared" si="15"/>
        <v>1.4</v>
      </c>
      <c r="P49" s="1182">
        <f>+O49/$O$452</f>
        <v>2.3434884499497822E-3</v>
      </c>
    </row>
    <row r="50" spans="1:16" x14ac:dyDescent="0.25">
      <c r="A50" s="495" t="s">
        <v>35</v>
      </c>
      <c r="B50" s="471">
        <f t="shared" ref="B50:I50" si="16">SUM(B45:B49)</f>
        <v>0</v>
      </c>
      <c r="C50" s="471">
        <f t="shared" si="16"/>
        <v>4</v>
      </c>
      <c r="D50" s="471">
        <f t="shared" si="16"/>
        <v>10</v>
      </c>
      <c r="E50" s="663">
        <f t="shared" si="16"/>
        <v>8</v>
      </c>
      <c r="F50" s="471">
        <f t="shared" si="16"/>
        <v>8</v>
      </c>
      <c r="G50" s="663">
        <f t="shared" si="16"/>
        <v>12</v>
      </c>
      <c r="H50" s="488">
        <f t="shared" si="16"/>
        <v>12</v>
      </c>
      <c r="I50" s="488">
        <f t="shared" si="16"/>
        <v>2</v>
      </c>
      <c r="J50" s="488">
        <f>SUM(J45:J49)</f>
        <v>2</v>
      </c>
      <c r="K50" s="488">
        <f>SUM(K45:K49)</f>
        <v>8</v>
      </c>
      <c r="L50" s="488">
        <f>SUM(L45:L49)</f>
        <v>3</v>
      </c>
      <c r="M50" s="488">
        <f>SUM(M45:M49)</f>
        <v>6</v>
      </c>
      <c r="N50" s="488">
        <f>SUM(N45:N49)</f>
        <v>9</v>
      </c>
      <c r="O50" s="488">
        <f t="shared" si="15"/>
        <v>5.6</v>
      </c>
      <c r="P50" s="494">
        <f>SUM(P45:P49)</f>
        <v>9.3739537997991288E-3</v>
      </c>
    </row>
    <row r="51" spans="1:16" x14ac:dyDescent="0.25">
      <c r="A51" s="492" t="s">
        <v>67</v>
      </c>
      <c r="B51" s="470" t="s">
        <v>853</v>
      </c>
      <c r="C51" s="470" t="s">
        <v>585</v>
      </c>
      <c r="D51" s="470" t="s">
        <v>1307</v>
      </c>
      <c r="E51" s="662" t="s">
        <v>560</v>
      </c>
      <c r="F51" s="470" t="s">
        <v>866</v>
      </c>
      <c r="G51" s="662" t="s">
        <v>620</v>
      </c>
      <c r="H51" s="489" t="s">
        <v>720</v>
      </c>
      <c r="I51" s="487" t="s">
        <v>915</v>
      </c>
      <c r="J51" s="487" t="s">
        <v>1364</v>
      </c>
      <c r="K51" s="487" t="s">
        <v>1385</v>
      </c>
      <c r="L51" s="487" t="s">
        <v>1386</v>
      </c>
      <c r="M51" s="1429" t="s">
        <v>1387</v>
      </c>
      <c r="N51" s="1429" t="s">
        <v>1535</v>
      </c>
      <c r="O51" s="489" t="s">
        <v>30</v>
      </c>
      <c r="P51" s="489" t="s">
        <v>31</v>
      </c>
    </row>
    <row r="52" spans="1:16" x14ac:dyDescent="0.25">
      <c r="A52" s="1186" t="s">
        <v>68</v>
      </c>
      <c r="B52" s="1178">
        <v>2</v>
      </c>
      <c r="C52" s="1178">
        <v>1</v>
      </c>
      <c r="D52" s="1178">
        <v>0</v>
      </c>
      <c r="E52" s="1179">
        <v>2</v>
      </c>
      <c r="F52" s="1178">
        <v>0</v>
      </c>
      <c r="G52" s="1179">
        <v>1</v>
      </c>
      <c r="H52" s="1180">
        <v>3</v>
      </c>
      <c r="I52" s="1180">
        <v>0</v>
      </c>
      <c r="J52" s="1180">
        <v>0</v>
      </c>
      <c r="K52" s="1180">
        <v>0</v>
      </c>
      <c r="L52" s="1180">
        <v>1</v>
      </c>
      <c r="M52" s="1181">
        <v>2</v>
      </c>
      <c r="N52" s="1181">
        <v>1</v>
      </c>
      <c r="O52" s="488">
        <f t="shared" ref="O52:O62" si="17">AVERAGE(J52:N52)</f>
        <v>0.8</v>
      </c>
      <c r="P52" s="1182">
        <f t="shared" ref="P52:P61" si="18">+O52/$O$452</f>
        <v>1.3391362571141614E-3</v>
      </c>
    </row>
    <row r="53" spans="1:16" x14ac:dyDescent="0.25">
      <c r="A53" s="1192" t="s">
        <v>69</v>
      </c>
      <c r="B53" s="1189">
        <v>0</v>
      </c>
      <c r="C53" s="1189">
        <v>0</v>
      </c>
      <c r="D53" s="1189">
        <v>0</v>
      </c>
      <c r="E53" s="1190">
        <v>0</v>
      </c>
      <c r="F53" s="1189">
        <v>0</v>
      </c>
      <c r="G53" s="1190">
        <v>0</v>
      </c>
      <c r="H53" s="1191">
        <v>0</v>
      </c>
      <c r="I53" s="1191">
        <v>0</v>
      </c>
      <c r="J53" s="1191">
        <v>0</v>
      </c>
      <c r="K53" s="1191">
        <v>0</v>
      </c>
      <c r="L53" s="1191">
        <v>0</v>
      </c>
      <c r="M53" s="1181">
        <v>0</v>
      </c>
      <c r="N53" s="1181">
        <v>0</v>
      </c>
      <c r="O53" s="488">
        <f t="shared" si="17"/>
        <v>0</v>
      </c>
      <c r="P53" s="1182">
        <f t="shared" si="18"/>
        <v>0</v>
      </c>
    </row>
    <row r="54" spans="1:16" x14ac:dyDescent="0.25">
      <c r="A54" s="1186" t="s">
        <v>70</v>
      </c>
      <c r="B54" s="1178">
        <v>3</v>
      </c>
      <c r="C54" s="1178">
        <v>0</v>
      </c>
      <c r="D54" s="1178">
        <v>1</v>
      </c>
      <c r="E54" s="1179">
        <v>2</v>
      </c>
      <c r="F54" s="1178">
        <v>2</v>
      </c>
      <c r="G54" s="1179">
        <v>1</v>
      </c>
      <c r="H54" s="1180">
        <v>1</v>
      </c>
      <c r="I54" s="1180">
        <v>0</v>
      </c>
      <c r="J54" s="1180">
        <v>0</v>
      </c>
      <c r="K54" s="1180">
        <v>2</v>
      </c>
      <c r="L54" s="1180">
        <v>0</v>
      </c>
      <c r="M54" s="1181">
        <v>3</v>
      </c>
      <c r="N54" s="1181">
        <v>1</v>
      </c>
      <c r="O54" s="488">
        <f t="shared" si="17"/>
        <v>1.2</v>
      </c>
      <c r="P54" s="1182">
        <f t="shared" si="18"/>
        <v>2.0087043856712419E-3</v>
      </c>
    </row>
    <row r="55" spans="1:16" x14ac:dyDescent="0.25">
      <c r="A55" s="1186" t="s">
        <v>501</v>
      </c>
      <c r="B55" s="1178">
        <v>0</v>
      </c>
      <c r="C55" s="1178">
        <v>0</v>
      </c>
      <c r="D55" s="1178">
        <v>0</v>
      </c>
      <c r="E55" s="1179">
        <v>0</v>
      </c>
      <c r="F55" s="1178">
        <v>0</v>
      </c>
      <c r="G55" s="1179">
        <v>1</v>
      </c>
      <c r="H55" s="1180">
        <v>1</v>
      </c>
      <c r="I55" s="1180">
        <v>0</v>
      </c>
      <c r="J55" s="1180">
        <v>0</v>
      </c>
      <c r="K55" s="1180">
        <v>1</v>
      </c>
      <c r="L55" s="1180">
        <v>0</v>
      </c>
      <c r="M55" s="1181">
        <v>0</v>
      </c>
      <c r="N55" s="1181">
        <v>0</v>
      </c>
      <c r="O55" s="488">
        <f t="shared" si="17"/>
        <v>0.2</v>
      </c>
      <c r="P55" s="1182">
        <f t="shared" si="18"/>
        <v>3.3478406427854036E-4</v>
      </c>
    </row>
    <row r="56" spans="1:16" x14ac:dyDescent="0.25">
      <c r="A56" s="1187" t="s">
        <v>1416</v>
      </c>
      <c r="B56" s="1178"/>
      <c r="C56" s="1178"/>
      <c r="D56" s="1178"/>
      <c r="E56" s="1179">
        <v>0</v>
      </c>
      <c r="F56" s="1178">
        <v>0</v>
      </c>
      <c r="G56" s="1179">
        <v>0</v>
      </c>
      <c r="H56" s="1180">
        <v>0</v>
      </c>
      <c r="I56" s="1180">
        <v>0</v>
      </c>
      <c r="J56" s="1180">
        <v>0</v>
      </c>
      <c r="K56" s="1180">
        <v>0</v>
      </c>
      <c r="L56" s="1180">
        <v>1</v>
      </c>
      <c r="M56" s="1181">
        <v>0</v>
      </c>
      <c r="N56" s="1181">
        <v>0</v>
      </c>
      <c r="O56" s="488">
        <f t="shared" si="17"/>
        <v>0.2</v>
      </c>
      <c r="P56" s="1182">
        <f t="shared" si="18"/>
        <v>3.3478406427854036E-4</v>
      </c>
    </row>
    <row r="57" spans="1:16" x14ac:dyDescent="0.25">
      <c r="A57" s="1186" t="s">
        <v>504</v>
      </c>
      <c r="B57" s="1178">
        <v>0</v>
      </c>
      <c r="C57" s="1178">
        <v>0</v>
      </c>
      <c r="D57" s="1178">
        <v>0</v>
      </c>
      <c r="E57" s="1179">
        <v>0</v>
      </c>
      <c r="F57" s="1178">
        <v>0</v>
      </c>
      <c r="G57" s="1179">
        <v>1</v>
      </c>
      <c r="H57" s="1180">
        <v>2</v>
      </c>
      <c r="I57" s="1180">
        <v>1</v>
      </c>
      <c r="J57" s="1180">
        <v>0</v>
      </c>
      <c r="K57" s="1180">
        <v>1</v>
      </c>
      <c r="L57" s="1180">
        <v>0</v>
      </c>
      <c r="M57" s="1181">
        <v>0</v>
      </c>
      <c r="N57" s="1181">
        <v>0</v>
      </c>
      <c r="O57" s="488">
        <f t="shared" si="17"/>
        <v>0.2</v>
      </c>
      <c r="P57" s="1182">
        <f t="shared" si="18"/>
        <v>3.3478406427854036E-4</v>
      </c>
    </row>
    <row r="58" spans="1:16" x14ac:dyDescent="0.25">
      <c r="A58" s="1186" t="s">
        <v>71</v>
      </c>
      <c r="B58" s="1178">
        <v>1</v>
      </c>
      <c r="C58" s="1178">
        <v>0</v>
      </c>
      <c r="D58" s="1178">
        <v>0</v>
      </c>
      <c r="E58" s="1179">
        <v>1</v>
      </c>
      <c r="F58" s="1178">
        <v>1</v>
      </c>
      <c r="G58" s="1179">
        <v>0</v>
      </c>
      <c r="H58" s="1180">
        <v>3</v>
      </c>
      <c r="I58" s="1180">
        <v>0</v>
      </c>
      <c r="J58" s="1180">
        <v>0</v>
      </c>
      <c r="K58" s="1180">
        <v>0</v>
      </c>
      <c r="L58" s="1180">
        <v>1</v>
      </c>
      <c r="M58" s="1181">
        <v>0</v>
      </c>
      <c r="N58" s="1181">
        <v>0</v>
      </c>
      <c r="O58" s="488">
        <f t="shared" si="17"/>
        <v>0.2</v>
      </c>
      <c r="P58" s="1182">
        <f t="shared" si="18"/>
        <v>3.3478406427854036E-4</v>
      </c>
    </row>
    <row r="59" spans="1:16" x14ac:dyDescent="0.25">
      <c r="A59" s="1186" t="s">
        <v>72</v>
      </c>
      <c r="B59" s="1178">
        <v>0</v>
      </c>
      <c r="C59" s="1178">
        <v>2</v>
      </c>
      <c r="D59" s="1178">
        <v>1</v>
      </c>
      <c r="E59" s="1179">
        <v>3</v>
      </c>
      <c r="F59" s="1178">
        <v>2</v>
      </c>
      <c r="G59" s="1179">
        <v>0</v>
      </c>
      <c r="H59" s="1180">
        <v>0</v>
      </c>
      <c r="I59" s="1180">
        <v>0</v>
      </c>
      <c r="J59" s="1180">
        <v>0</v>
      </c>
      <c r="K59" s="1180">
        <v>1</v>
      </c>
      <c r="L59" s="1180">
        <v>2</v>
      </c>
      <c r="M59" s="1181">
        <v>1</v>
      </c>
      <c r="N59" s="1181">
        <v>1</v>
      </c>
      <c r="O59" s="488">
        <f t="shared" si="17"/>
        <v>1</v>
      </c>
      <c r="P59" s="1182">
        <f t="shared" si="18"/>
        <v>1.6739203213927017E-3</v>
      </c>
    </row>
    <row r="60" spans="1:16" x14ac:dyDescent="0.25">
      <c r="A60" s="1186" t="s">
        <v>73</v>
      </c>
      <c r="B60" s="1178">
        <v>0</v>
      </c>
      <c r="C60" s="1178">
        <v>0</v>
      </c>
      <c r="D60" s="1178">
        <v>0</v>
      </c>
      <c r="E60" s="1179">
        <v>0</v>
      </c>
      <c r="F60" s="1178">
        <v>0</v>
      </c>
      <c r="G60" s="1179">
        <v>0</v>
      </c>
      <c r="H60" s="1180">
        <v>0</v>
      </c>
      <c r="I60" s="1180">
        <v>0</v>
      </c>
      <c r="J60" s="1180">
        <v>0</v>
      </c>
      <c r="K60" s="1180">
        <v>0</v>
      </c>
      <c r="L60" s="1180">
        <v>0</v>
      </c>
      <c r="M60" s="1180">
        <v>0</v>
      </c>
      <c r="N60" s="1180">
        <v>0</v>
      </c>
      <c r="O60" s="488">
        <f t="shared" si="17"/>
        <v>0</v>
      </c>
      <c r="P60" s="1182">
        <f t="shared" si="18"/>
        <v>0</v>
      </c>
    </row>
    <row r="61" spans="1:16" x14ac:dyDescent="0.25">
      <c r="A61" s="1186" t="s">
        <v>74</v>
      </c>
      <c r="B61" s="1178">
        <v>0</v>
      </c>
      <c r="C61" s="1178">
        <v>0</v>
      </c>
      <c r="D61" s="1178">
        <v>1</v>
      </c>
      <c r="E61" s="1179">
        <v>0</v>
      </c>
      <c r="F61" s="1178">
        <v>0</v>
      </c>
      <c r="G61" s="1179">
        <v>0</v>
      </c>
      <c r="H61" s="1180">
        <v>0</v>
      </c>
      <c r="I61" s="1180">
        <v>0</v>
      </c>
      <c r="J61" s="1180">
        <v>0</v>
      </c>
      <c r="K61" s="1180">
        <v>0</v>
      </c>
      <c r="L61" s="1180">
        <v>0</v>
      </c>
      <c r="M61" s="1180">
        <v>0</v>
      </c>
      <c r="N61" s="1180">
        <v>0</v>
      </c>
      <c r="O61" s="488">
        <f t="shared" si="17"/>
        <v>0</v>
      </c>
      <c r="P61" s="1182">
        <f t="shared" si="18"/>
        <v>0</v>
      </c>
    </row>
    <row r="62" spans="1:16" x14ac:dyDescent="0.25">
      <c r="A62" s="495" t="s">
        <v>35</v>
      </c>
      <c r="B62" s="471">
        <f t="shared" ref="B62:J62" si="19">SUM(B52:B61)</f>
        <v>6</v>
      </c>
      <c r="C62" s="471">
        <f t="shared" si="19"/>
        <v>3</v>
      </c>
      <c r="D62" s="471">
        <f t="shared" si="19"/>
        <v>3</v>
      </c>
      <c r="E62" s="663">
        <f t="shared" si="19"/>
        <v>8</v>
      </c>
      <c r="F62" s="471">
        <f t="shared" si="19"/>
        <v>5</v>
      </c>
      <c r="G62" s="663">
        <f t="shared" si="19"/>
        <v>4</v>
      </c>
      <c r="H62" s="488">
        <f t="shared" si="19"/>
        <v>10</v>
      </c>
      <c r="I62" s="488">
        <f t="shared" si="19"/>
        <v>1</v>
      </c>
      <c r="J62" s="488">
        <f t="shared" si="19"/>
        <v>0</v>
      </c>
      <c r="K62" s="488">
        <f>SUM(K52:K61)</f>
        <v>5</v>
      </c>
      <c r="L62" s="488">
        <f>SUM(L52:L61)</f>
        <v>5</v>
      </c>
      <c r="M62" s="488">
        <f>SUM(M52:M61)</f>
        <v>6</v>
      </c>
      <c r="N62" s="488">
        <f>SUM(N52:N61)</f>
        <v>3</v>
      </c>
      <c r="O62" s="488">
        <f t="shared" si="17"/>
        <v>3.8</v>
      </c>
      <c r="P62" s="494">
        <f>SUM(P52:P61)</f>
        <v>6.3608972212922665E-3</v>
      </c>
    </row>
    <row r="63" spans="1:16" x14ac:dyDescent="0.25">
      <c r="A63" s="492" t="s">
        <v>75</v>
      </c>
      <c r="B63" s="470" t="s">
        <v>853</v>
      </c>
      <c r="C63" s="470" t="s">
        <v>585</v>
      </c>
      <c r="D63" s="513" t="s">
        <v>1307</v>
      </c>
      <c r="E63" s="662" t="s">
        <v>560</v>
      </c>
      <c r="F63" s="470" t="s">
        <v>866</v>
      </c>
      <c r="G63" s="662" t="s">
        <v>620</v>
      </c>
      <c r="H63" s="489" t="s">
        <v>720</v>
      </c>
      <c r="I63" s="487" t="s">
        <v>915</v>
      </c>
      <c r="J63" s="487" t="s">
        <v>1364</v>
      </c>
      <c r="K63" s="487" t="s">
        <v>1385</v>
      </c>
      <c r="L63" s="487" t="s">
        <v>1386</v>
      </c>
      <c r="M63" s="1429" t="s">
        <v>1387</v>
      </c>
      <c r="N63" s="1429" t="s">
        <v>1535</v>
      </c>
      <c r="O63" s="489" t="s">
        <v>30</v>
      </c>
      <c r="P63" s="489" t="s">
        <v>31</v>
      </c>
    </row>
    <row r="64" spans="1:16" ht="12.75" customHeight="1" x14ac:dyDescent="0.25">
      <c r="A64" s="1186" t="s">
        <v>76</v>
      </c>
      <c r="B64" s="1178">
        <v>2</v>
      </c>
      <c r="C64" s="1178">
        <v>3</v>
      </c>
      <c r="D64" s="1178">
        <v>0</v>
      </c>
      <c r="E64" s="1179">
        <v>0</v>
      </c>
      <c r="F64" s="1178">
        <v>0</v>
      </c>
      <c r="G64" s="1179">
        <v>5</v>
      </c>
      <c r="H64" s="1180">
        <v>5</v>
      </c>
      <c r="I64" s="1180">
        <v>5</v>
      </c>
      <c r="J64" s="1180">
        <v>3</v>
      </c>
      <c r="K64" s="1180">
        <v>3</v>
      </c>
      <c r="L64" s="1180">
        <v>0</v>
      </c>
      <c r="M64" s="1181">
        <v>1</v>
      </c>
      <c r="N64" s="1181">
        <v>3</v>
      </c>
      <c r="O64" s="488">
        <f t="shared" ref="O64:O76" si="20">AVERAGE(J64:N64)</f>
        <v>2</v>
      </c>
      <c r="P64" s="1182">
        <f>+O64/$O$452</f>
        <v>3.3478406427854034E-3</v>
      </c>
    </row>
    <row r="65" spans="1:16" ht="12.75" customHeight="1" x14ac:dyDescent="0.25">
      <c r="A65" s="1186" t="s">
        <v>1575</v>
      </c>
      <c r="B65" s="1487"/>
      <c r="C65" s="1487"/>
      <c r="D65" s="1487"/>
      <c r="E65" s="1179"/>
      <c r="F65" s="1487"/>
      <c r="G65" s="1179"/>
      <c r="H65" s="1180"/>
      <c r="I65" s="1180"/>
      <c r="J65" s="1180">
        <v>0</v>
      </c>
      <c r="K65" s="1180">
        <v>0</v>
      </c>
      <c r="L65" s="1180">
        <v>0</v>
      </c>
      <c r="M65" s="1181">
        <v>0</v>
      </c>
      <c r="N65" s="1181">
        <v>1</v>
      </c>
      <c r="O65" s="488">
        <f t="shared" si="20"/>
        <v>0.2</v>
      </c>
      <c r="P65" s="1182">
        <f>+O65/$O$452</f>
        <v>3.3478406427854036E-4</v>
      </c>
    </row>
    <row r="66" spans="1:16" x14ac:dyDescent="0.25">
      <c r="A66" s="1186" t="s">
        <v>95</v>
      </c>
      <c r="B66" s="1178">
        <v>7</v>
      </c>
      <c r="C66" s="1178">
        <v>1</v>
      </c>
      <c r="D66" s="1178">
        <v>0</v>
      </c>
      <c r="E66" s="1179">
        <v>2</v>
      </c>
      <c r="F66" s="1178">
        <v>1</v>
      </c>
      <c r="G66" s="1179">
        <v>0</v>
      </c>
      <c r="H66" s="1180">
        <v>1</v>
      </c>
      <c r="I66" s="1180">
        <v>1</v>
      </c>
      <c r="J66" s="1180">
        <v>0</v>
      </c>
      <c r="K66" s="1180">
        <v>3</v>
      </c>
      <c r="L66" s="1180">
        <v>1</v>
      </c>
      <c r="M66" s="1181">
        <v>2</v>
      </c>
      <c r="N66" s="1181">
        <v>0</v>
      </c>
      <c r="O66" s="488">
        <f t="shared" si="20"/>
        <v>1.2</v>
      </c>
      <c r="P66" s="1182">
        <f t="shared" ref="P66:P75" si="21">+O66/$O$452</f>
        <v>2.0087043856712419E-3</v>
      </c>
    </row>
    <row r="67" spans="1:16" x14ac:dyDescent="0.25">
      <c r="A67" s="1186" t="s">
        <v>77</v>
      </c>
      <c r="B67" s="1178">
        <v>0</v>
      </c>
      <c r="C67" s="1178">
        <v>0</v>
      </c>
      <c r="D67" s="1178">
        <v>0</v>
      </c>
      <c r="E67" s="1179">
        <v>0</v>
      </c>
      <c r="F67" s="1178">
        <v>0</v>
      </c>
      <c r="G67" s="1179">
        <v>0</v>
      </c>
      <c r="H67" s="1180">
        <v>0</v>
      </c>
      <c r="I67" s="1180">
        <v>0</v>
      </c>
      <c r="J67" s="1180">
        <v>0</v>
      </c>
      <c r="K67" s="1180">
        <v>0</v>
      </c>
      <c r="L67" s="1180">
        <v>0</v>
      </c>
      <c r="M67" s="1181">
        <v>0</v>
      </c>
      <c r="N67" s="1181">
        <v>0</v>
      </c>
      <c r="O67" s="488">
        <f t="shared" si="20"/>
        <v>0</v>
      </c>
      <c r="P67" s="1182">
        <f t="shared" si="21"/>
        <v>0</v>
      </c>
    </row>
    <row r="68" spans="1:16" x14ac:dyDescent="0.25">
      <c r="A68" s="1186" t="s">
        <v>78</v>
      </c>
      <c r="B68" s="1178">
        <v>0</v>
      </c>
      <c r="C68" s="1178">
        <v>0</v>
      </c>
      <c r="D68" s="1178">
        <v>0</v>
      </c>
      <c r="E68" s="1179">
        <v>0</v>
      </c>
      <c r="F68" s="1178">
        <v>0</v>
      </c>
      <c r="G68" s="1179">
        <v>0</v>
      </c>
      <c r="H68" s="1180">
        <v>0</v>
      </c>
      <c r="I68" s="1180">
        <v>0</v>
      </c>
      <c r="J68" s="1180">
        <v>0</v>
      </c>
      <c r="K68" s="1180">
        <v>0</v>
      </c>
      <c r="L68" s="1180">
        <v>1</v>
      </c>
      <c r="M68" s="1181">
        <v>0</v>
      </c>
      <c r="N68" s="1181">
        <v>1</v>
      </c>
      <c r="O68" s="488">
        <f t="shared" si="20"/>
        <v>0.4</v>
      </c>
      <c r="P68" s="1182">
        <f t="shared" si="21"/>
        <v>6.6956812855708072E-4</v>
      </c>
    </row>
    <row r="69" spans="1:16" x14ac:dyDescent="0.25">
      <c r="A69" s="1187" t="s">
        <v>1417</v>
      </c>
      <c r="B69" s="1178"/>
      <c r="C69" s="1178"/>
      <c r="D69" s="1178"/>
      <c r="E69" s="1179">
        <v>0</v>
      </c>
      <c r="F69" s="1178">
        <v>0</v>
      </c>
      <c r="G69" s="1179">
        <v>0</v>
      </c>
      <c r="H69" s="1180">
        <v>0</v>
      </c>
      <c r="I69" s="1180">
        <v>0</v>
      </c>
      <c r="J69" s="1180">
        <v>0</v>
      </c>
      <c r="K69" s="1180">
        <v>0</v>
      </c>
      <c r="L69" s="1180">
        <v>1</v>
      </c>
      <c r="M69" s="1181">
        <v>0</v>
      </c>
      <c r="N69" s="1181">
        <v>0</v>
      </c>
      <c r="O69" s="488">
        <f t="shared" si="20"/>
        <v>0.2</v>
      </c>
      <c r="P69" s="1182">
        <f t="shared" si="21"/>
        <v>3.3478406427854036E-4</v>
      </c>
    </row>
    <row r="70" spans="1:16" x14ac:dyDescent="0.25">
      <c r="A70" s="1186" t="s">
        <v>79</v>
      </c>
      <c r="B70" s="1178">
        <v>0</v>
      </c>
      <c r="C70" s="1178">
        <v>1</v>
      </c>
      <c r="D70" s="1178">
        <v>3</v>
      </c>
      <c r="E70" s="1179">
        <v>1</v>
      </c>
      <c r="F70" s="1178">
        <v>1</v>
      </c>
      <c r="G70" s="1179">
        <v>1</v>
      </c>
      <c r="H70" s="1180">
        <v>1</v>
      </c>
      <c r="I70" s="1180">
        <v>0</v>
      </c>
      <c r="J70" s="1180">
        <v>1</v>
      </c>
      <c r="K70" s="1180">
        <v>2</v>
      </c>
      <c r="L70" s="1180">
        <v>4</v>
      </c>
      <c r="M70" s="1181">
        <v>2</v>
      </c>
      <c r="N70" s="1181">
        <v>3</v>
      </c>
      <c r="O70" s="488">
        <f t="shared" si="20"/>
        <v>2.4</v>
      </c>
      <c r="P70" s="1182">
        <f t="shared" si="21"/>
        <v>4.0174087713424839E-3</v>
      </c>
    </row>
    <row r="71" spans="1:16" x14ac:dyDescent="0.25">
      <c r="A71" s="1186" t="s">
        <v>80</v>
      </c>
      <c r="B71" s="1178">
        <v>1</v>
      </c>
      <c r="C71" s="1178">
        <v>0</v>
      </c>
      <c r="D71" s="1178">
        <v>0</v>
      </c>
      <c r="E71" s="1179">
        <v>0</v>
      </c>
      <c r="F71" s="1178">
        <v>1</v>
      </c>
      <c r="G71" s="1179">
        <v>1</v>
      </c>
      <c r="H71" s="1180">
        <v>0</v>
      </c>
      <c r="I71" s="1180">
        <v>1</v>
      </c>
      <c r="J71" s="1180">
        <v>0</v>
      </c>
      <c r="K71" s="1180">
        <v>0</v>
      </c>
      <c r="L71" s="1180">
        <v>2</v>
      </c>
      <c r="M71" s="1181">
        <v>0</v>
      </c>
      <c r="N71" s="1181">
        <v>0</v>
      </c>
      <c r="O71" s="488">
        <f t="shared" si="20"/>
        <v>0.4</v>
      </c>
      <c r="P71" s="1182">
        <f t="shared" si="21"/>
        <v>6.6956812855708072E-4</v>
      </c>
    </row>
    <row r="72" spans="1:16" x14ac:dyDescent="0.25">
      <c r="A72" s="1186" t="s">
        <v>81</v>
      </c>
      <c r="B72" s="1178">
        <v>0</v>
      </c>
      <c r="C72" s="1178">
        <v>0</v>
      </c>
      <c r="D72" s="1178">
        <v>0</v>
      </c>
      <c r="E72" s="1179">
        <v>0</v>
      </c>
      <c r="F72" s="1178">
        <v>0</v>
      </c>
      <c r="G72" s="1179">
        <v>0</v>
      </c>
      <c r="H72" s="1180">
        <v>0</v>
      </c>
      <c r="I72" s="1180">
        <v>0</v>
      </c>
      <c r="J72" s="1180">
        <v>0</v>
      </c>
      <c r="K72" s="1180">
        <v>0</v>
      </c>
      <c r="L72" s="1180">
        <v>0</v>
      </c>
      <c r="M72" s="1181">
        <v>0</v>
      </c>
      <c r="N72" s="1181">
        <v>0</v>
      </c>
      <c r="O72" s="488">
        <f t="shared" si="20"/>
        <v>0</v>
      </c>
      <c r="P72" s="1182">
        <f t="shared" si="21"/>
        <v>0</v>
      </c>
    </row>
    <row r="73" spans="1:16" x14ac:dyDescent="0.25">
      <c r="A73" s="1186" t="s">
        <v>84</v>
      </c>
      <c r="B73" s="1178">
        <v>1</v>
      </c>
      <c r="C73" s="1178">
        <v>0</v>
      </c>
      <c r="D73" s="1178">
        <v>1</v>
      </c>
      <c r="E73" s="1179">
        <v>0</v>
      </c>
      <c r="F73" s="1178">
        <v>1</v>
      </c>
      <c r="G73" s="1179">
        <v>0</v>
      </c>
      <c r="H73" s="1180">
        <v>2</v>
      </c>
      <c r="I73" s="1180">
        <v>0</v>
      </c>
      <c r="J73" s="1180">
        <v>0</v>
      </c>
      <c r="K73" s="1180">
        <v>1</v>
      </c>
      <c r="L73" s="1180">
        <v>0</v>
      </c>
      <c r="M73" s="1181">
        <v>0</v>
      </c>
      <c r="N73" s="1181">
        <v>1</v>
      </c>
      <c r="O73" s="488">
        <f t="shared" si="20"/>
        <v>0.4</v>
      </c>
      <c r="P73" s="1182">
        <f t="shared" si="21"/>
        <v>6.6956812855708072E-4</v>
      </c>
    </row>
    <row r="74" spans="1:16" x14ac:dyDescent="0.25">
      <c r="A74" s="1186" t="s">
        <v>85</v>
      </c>
      <c r="B74" s="1178">
        <v>0</v>
      </c>
      <c r="C74" s="1178">
        <v>0</v>
      </c>
      <c r="D74" s="1178">
        <v>0</v>
      </c>
      <c r="E74" s="1179">
        <v>0</v>
      </c>
      <c r="F74" s="1178">
        <v>0</v>
      </c>
      <c r="G74" s="1179">
        <v>0</v>
      </c>
      <c r="H74" s="1180">
        <v>0</v>
      </c>
      <c r="I74" s="1180">
        <v>0</v>
      </c>
      <c r="J74" s="1180">
        <v>0</v>
      </c>
      <c r="K74" s="1180">
        <v>0</v>
      </c>
      <c r="L74" s="1180">
        <v>0</v>
      </c>
      <c r="M74" s="1181">
        <v>0</v>
      </c>
      <c r="N74" s="1181">
        <v>0</v>
      </c>
      <c r="O74" s="488">
        <f t="shared" si="20"/>
        <v>0</v>
      </c>
      <c r="P74" s="1182">
        <f t="shared" si="21"/>
        <v>0</v>
      </c>
    </row>
    <row r="75" spans="1:16" x14ac:dyDescent="0.25">
      <c r="A75" s="1186" t="s">
        <v>86</v>
      </c>
      <c r="B75" s="1178">
        <v>5</v>
      </c>
      <c r="C75" s="1178">
        <v>3</v>
      </c>
      <c r="D75" s="1178">
        <v>3</v>
      </c>
      <c r="E75" s="1179">
        <v>1</v>
      </c>
      <c r="F75" s="1178">
        <v>0</v>
      </c>
      <c r="G75" s="1179">
        <v>0</v>
      </c>
      <c r="H75" s="1180">
        <v>2</v>
      </c>
      <c r="I75" s="1180">
        <v>3</v>
      </c>
      <c r="J75" s="1180">
        <v>2</v>
      </c>
      <c r="K75" s="1180">
        <v>3</v>
      </c>
      <c r="L75" s="1180">
        <v>8</v>
      </c>
      <c r="M75" s="1181">
        <v>2</v>
      </c>
      <c r="N75" s="1181">
        <v>3</v>
      </c>
      <c r="O75" s="488">
        <f t="shared" si="20"/>
        <v>3.6</v>
      </c>
      <c r="P75" s="1182">
        <f t="shared" si="21"/>
        <v>6.0261131570137263E-3</v>
      </c>
    </row>
    <row r="76" spans="1:16" x14ac:dyDescent="0.25">
      <c r="A76" s="495" t="s">
        <v>35</v>
      </c>
      <c r="B76" s="471">
        <f t="shared" ref="B76:J76" si="22">SUM(B64:B75)</f>
        <v>16</v>
      </c>
      <c r="C76" s="471">
        <f t="shared" si="22"/>
        <v>8</v>
      </c>
      <c r="D76" s="471">
        <f t="shared" si="22"/>
        <v>7</v>
      </c>
      <c r="E76" s="663">
        <f t="shared" si="22"/>
        <v>4</v>
      </c>
      <c r="F76" s="471">
        <f t="shared" si="22"/>
        <v>4</v>
      </c>
      <c r="G76" s="663">
        <f t="shared" si="22"/>
        <v>7</v>
      </c>
      <c r="H76" s="488">
        <f t="shared" si="22"/>
        <v>11</v>
      </c>
      <c r="I76" s="488">
        <f t="shared" si="22"/>
        <v>10</v>
      </c>
      <c r="J76" s="488">
        <f t="shared" si="22"/>
        <v>6</v>
      </c>
      <c r="K76" s="488">
        <f>SUM(K64:K75)</f>
        <v>12</v>
      </c>
      <c r="L76" s="488">
        <f>SUM(L64:L75)</f>
        <v>17</v>
      </c>
      <c r="M76" s="488">
        <f>SUM(M64:M75)</f>
        <v>7</v>
      </c>
      <c r="N76" s="488">
        <f>SUM(N64:N75)</f>
        <v>12</v>
      </c>
      <c r="O76" s="488">
        <f t="shared" si="20"/>
        <v>10.8</v>
      </c>
      <c r="P76" s="494">
        <f>SUM(P64:P75)</f>
        <v>1.8078339471041177E-2</v>
      </c>
    </row>
    <row r="77" spans="1:16" x14ac:dyDescent="0.25">
      <c r="A77" s="492" t="s">
        <v>87</v>
      </c>
      <c r="B77" s="470" t="s">
        <v>853</v>
      </c>
      <c r="C77" s="470" t="s">
        <v>585</v>
      </c>
      <c r="D77" s="470" t="s">
        <v>1307</v>
      </c>
      <c r="E77" s="662" t="s">
        <v>560</v>
      </c>
      <c r="F77" s="470" t="s">
        <v>866</v>
      </c>
      <c r="G77" s="662" t="s">
        <v>620</v>
      </c>
      <c r="H77" s="489" t="s">
        <v>720</v>
      </c>
      <c r="I77" s="487" t="s">
        <v>915</v>
      </c>
      <c r="J77" s="487" t="s">
        <v>1364</v>
      </c>
      <c r="K77" s="487" t="s">
        <v>1385</v>
      </c>
      <c r="L77" s="487" t="s">
        <v>1386</v>
      </c>
      <c r="M77" s="1429" t="s">
        <v>1387</v>
      </c>
      <c r="N77" s="1429" t="s">
        <v>1535</v>
      </c>
      <c r="O77" s="489" t="s">
        <v>30</v>
      </c>
      <c r="P77" s="489" t="s">
        <v>31</v>
      </c>
    </row>
    <row r="78" spans="1:16" x14ac:dyDescent="0.25">
      <c r="A78" s="1186" t="s">
        <v>88</v>
      </c>
      <c r="B78" s="1178">
        <v>0</v>
      </c>
      <c r="C78" s="1178">
        <v>3</v>
      </c>
      <c r="D78" s="1178">
        <v>1</v>
      </c>
      <c r="E78" s="1179">
        <v>1</v>
      </c>
      <c r="F78" s="1178">
        <v>0</v>
      </c>
      <c r="G78" s="1179">
        <v>1</v>
      </c>
      <c r="H78" s="1180">
        <v>5</v>
      </c>
      <c r="I78" s="1180">
        <v>0</v>
      </c>
      <c r="J78" s="1180">
        <v>0</v>
      </c>
      <c r="K78" s="1180">
        <v>0</v>
      </c>
      <c r="L78" s="1180">
        <v>0</v>
      </c>
      <c r="M78" s="1180">
        <v>0</v>
      </c>
      <c r="N78" s="1180">
        <v>2</v>
      </c>
      <c r="O78" s="488">
        <f t="shared" ref="O78:O80" si="23">AVERAGE(J78:N78)</f>
        <v>0.4</v>
      </c>
      <c r="P78" s="1182">
        <f>+O78/$O$452</f>
        <v>6.6956812855708072E-4</v>
      </c>
    </row>
    <row r="79" spans="1:16" x14ac:dyDescent="0.25">
      <c r="A79" s="1186" t="s">
        <v>89</v>
      </c>
      <c r="B79" s="1178">
        <v>1</v>
      </c>
      <c r="C79" s="1178">
        <v>2</v>
      </c>
      <c r="D79" s="1178">
        <v>0</v>
      </c>
      <c r="E79" s="1179">
        <v>0</v>
      </c>
      <c r="F79" s="1178">
        <v>0</v>
      </c>
      <c r="G79" s="1179">
        <v>1</v>
      </c>
      <c r="H79" s="1180">
        <v>0</v>
      </c>
      <c r="I79" s="1180">
        <v>0</v>
      </c>
      <c r="J79" s="1180">
        <v>0</v>
      </c>
      <c r="K79" s="1180">
        <v>0</v>
      </c>
      <c r="L79" s="1180">
        <v>1</v>
      </c>
      <c r="M79" s="1180">
        <v>0</v>
      </c>
      <c r="N79" s="1180">
        <v>1</v>
      </c>
      <c r="O79" s="488">
        <f t="shared" si="23"/>
        <v>0.4</v>
      </c>
      <c r="P79" s="1182">
        <f>+O79/$O$452</f>
        <v>6.6956812855708072E-4</v>
      </c>
    </row>
    <row r="80" spans="1:16" x14ac:dyDescent="0.25">
      <c r="A80" s="495" t="s">
        <v>35</v>
      </c>
      <c r="B80" s="471">
        <f t="shared" ref="B80:J80" si="24">SUM(B78:B79)</f>
        <v>1</v>
      </c>
      <c r="C80" s="471">
        <f t="shared" si="24"/>
        <v>5</v>
      </c>
      <c r="D80" s="471">
        <f t="shared" si="24"/>
        <v>1</v>
      </c>
      <c r="E80" s="663">
        <f t="shared" si="24"/>
        <v>1</v>
      </c>
      <c r="F80" s="471">
        <f t="shared" si="24"/>
        <v>0</v>
      </c>
      <c r="G80" s="663">
        <f t="shared" si="24"/>
        <v>2</v>
      </c>
      <c r="H80" s="488">
        <f t="shared" si="24"/>
        <v>5</v>
      </c>
      <c r="I80" s="488">
        <f t="shared" si="24"/>
        <v>0</v>
      </c>
      <c r="J80" s="488">
        <f t="shared" si="24"/>
        <v>0</v>
      </c>
      <c r="K80" s="488">
        <f>SUM(K78:K79)</f>
        <v>0</v>
      </c>
      <c r="L80" s="488">
        <f>SUM(L78:L79)</f>
        <v>1</v>
      </c>
      <c r="M80" s="488">
        <f>SUM(M78:M79)</f>
        <v>0</v>
      </c>
      <c r="N80" s="488">
        <f>SUM(N78:N79)</f>
        <v>3</v>
      </c>
      <c r="O80" s="488">
        <f t="shared" si="23"/>
        <v>0.8</v>
      </c>
      <c r="P80" s="494">
        <f>SUM(P78:P79)</f>
        <v>1.3391362571141614E-3</v>
      </c>
    </row>
    <row r="81" spans="1:16" x14ac:dyDescent="0.25">
      <c r="A81" s="492" t="s">
        <v>90</v>
      </c>
      <c r="B81" s="470" t="s">
        <v>853</v>
      </c>
      <c r="C81" s="470" t="s">
        <v>585</v>
      </c>
      <c r="D81" s="470" t="s">
        <v>1307</v>
      </c>
      <c r="E81" s="662" t="s">
        <v>560</v>
      </c>
      <c r="F81" s="470" t="s">
        <v>866</v>
      </c>
      <c r="G81" s="662" t="s">
        <v>620</v>
      </c>
      <c r="H81" s="489" t="s">
        <v>720</v>
      </c>
      <c r="I81" s="487" t="s">
        <v>915</v>
      </c>
      <c r="J81" s="487" t="s">
        <v>1364</v>
      </c>
      <c r="K81" s="487" t="s">
        <v>1385</v>
      </c>
      <c r="L81" s="487" t="s">
        <v>1386</v>
      </c>
      <c r="M81" s="1429" t="s">
        <v>1387</v>
      </c>
      <c r="N81" s="1429" t="s">
        <v>1535</v>
      </c>
      <c r="O81" s="489" t="s">
        <v>30</v>
      </c>
      <c r="P81" s="489" t="s">
        <v>31</v>
      </c>
    </row>
    <row r="82" spans="1:16" x14ac:dyDescent="0.25">
      <c r="A82" s="1186" t="s">
        <v>91</v>
      </c>
      <c r="B82" s="1178">
        <v>1</v>
      </c>
      <c r="C82" s="1178">
        <v>0</v>
      </c>
      <c r="D82" s="1178">
        <v>0</v>
      </c>
      <c r="E82" s="1179">
        <v>0</v>
      </c>
      <c r="F82" s="1178">
        <v>1</v>
      </c>
      <c r="G82" s="1179">
        <v>0</v>
      </c>
      <c r="H82" s="1180">
        <v>0</v>
      </c>
      <c r="I82" s="1180">
        <v>0</v>
      </c>
      <c r="J82" s="1180">
        <v>0</v>
      </c>
      <c r="K82" s="1180">
        <v>0</v>
      </c>
      <c r="L82" s="1180">
        <v>1</v>
      </c>
      <c r="M82" s="1180">
        <v>0</v>
      </c>
      <c r="N82" s="1180">
        <v>0</v>
      </c>
      <c r="O82" s="488">
        <f t="shared" ref="O82:O118" si="25">AVERAGE(J82:N82)</f>
        <v>0.2</v>
      </c>
      <c r="P82" s="1182">
        <f t="shared" ref="P82:P117" si="26">+O82/$O$452</f>
        <v>3.3478406427854036E-4</v>
      </c>
    </row>
    <row r="83" spans="1:16" x14ac:dyDescent="0.25">
      <c r="A83" s="1186" t="s">
        <v>92</v>
      </c>
      <c r="B83" s="1178">
        <v>0</v>
      </c>
      <c r="C83" s="1178">
        <v>0</v>
      </c>
      <c r="D83" s="1178">
        <v>0</v>
      </c>
      <c r="E83" s="1179">
        <v>0</v>
      </c>
      <c r="F83" s="1178">
        <v>0</v>
      </c>
      <c r="G83" s="1179">
        <v>0</v>
      </c>
      <c r="H83" s="1180">
        <v>0</v>
      </c>
      <c r="I83" s="1180">
        <v>0</v>
      </c>
      <c r="J83" s="1180">
        <v>0</v>
      </c>
      <c r="K83" s="1180">
        <v>0</v>
      </c>
      <c r="L83" s="1180">
        <v>0</v>
      </c>
      <c r="M83" s="1180">
        <v>0</v>
      </c>
      <c r="N83" s="1180">
        <v>0</v>
      </c>
      <c r="O83" s="488">
        <f t="shared" si="25"/>
        <v>0</v>
      </c>
      <c r="P83" s="1182">
        <f t="shared" si="26"/>
        <v>0</v>
      </c>
    </row>
    <row r="84" spans="1:16" x14ac:dyDescent="0.25">
      <c r="A84" s="1186" t="s">
        <v>93</v>
      </c>
      <c r="B84" s="1178">
        <v>0</v>
      </c>
      <c r="C84" s="1178">
        <v>0</v>
      </c>
      <c r="D84" s="1178">
        <v>0</v>
      </c>
      <c r="E84" s="1179">
        <v>0</v>
      </c>
      <c r="F84" s="1178">
        <v>0</v>
      </c>
      <c r="G84" s="1179">
        <v>0</v>
      </c>
      <c r="H84" s="1180">
        <v>0</v>
      </c>
      <c r="I84" s="1180">
        <v>0</v>
      </c>
      <c r="J84" s="1180">
        <v>0</v>
      </c>
      <c r="K84" s="1180">
        <v>0</v>
      </c>
      <c r="L84" s="1180">
        <v>0</v>
      </c>
      <c r="M84" s="1180">
        <v>0</v>
      </c>
      <c r="N84" s="1180">
        <v>0</v>
      </c>
      <c r="O84" s="488">
        <f t="shared" si="25"/>
        <v>0</v>
      </c>
      <c r="P84" s="1182">
        <f t="shared" si="26"/>
        <v>0</v>
      </c>
    </row>
    <row r="85" spans="1:16" x14ac:dyDescent="0.25">
      <c r="A85" s="1186" t="s">
        <v>94</v>
      </c>
      <c r="B85" s="1178">
        <v>0</v>
      </c>
      <c r="C85" s="1178">
        <v>0</v>
      </c>
      <c r="D85" s="1178">
        <v>1</v>
      </c>
      <c r="E85" s="1179">
        <v>0</v>
      </c>
      <c r="F85" s="1178">
        <v>0</v>
      </c>
      <c r="G85" s="1179">
        <v>0</v>
      </c>
      <c r="H85" s="1180">
        <v>0</v>
      </c>
      <c r="I85" s="1180">
        <v>0</v>
      </c>
      <c r="J85" s="1180">
        <v>0</v>
      </c>
      <c r="K85" s="1180">
        <v>1</v>
      </c>
      <c r="L85" s="1180">
        <v>0</v>
      </c>
      <c r="M85" s="1180">
        <v>0</v>
      </c>
      <c r="N85" s="1180">
        <v>0</v>
      </c>
      <c r="O85" s="488">
        <f t="shared" si="25"/>
        <v>0.2</v>
      </c>
      <c r="P85" s="1182">
        <f t="shared" si="26"/>
        <v>3.3478406427854036E-4</v>
      </c>
    </row>
    <row r="86" spans="1:16" x14ac:dyDescent="0.25">
      <c r="A86" s="1186" t="s">
        <v>96</v>
      </c>
      <c r="B86" s="1178">
        <v>0</v>
      </c>
      <c r="C86" s="1178">
        <v>2</v>
      </c>
      <c r="D86" s="1178">
        <v>0</v>
      </c>
      <c r="E86" s="1179">
        <v>0</v>
      </c>
      <c r="F86" s="1178">
        <v>0</v>
      </c>
      <c r="G86" s="1179">
        <v>0</v>
      </c>
      <c r="H86" s="1180">
        <v>0</v>
      </c>
      <c r="I86" s="1180">
        <v>0</v>
      </c>
      <c r="J86" s="1180">
        <v>0</v>
      </c>
      <c r="K86" s="1180">
        <v>0</v>
      </c>
      <c r="L86" s="1180">
        <v>0</v>
      </c>
      <c r="M86" s="1180">
        <v>0</v>
      </c>
      <c r="N86" s="1180">
        <v>0</v>
      </c>
      <c r="O86" s="488">
        <f t="shared" si="25"/>
        <v>0</v>
      </c>
      <c r="P86" s="1182">
        <f t="shared" si="26"/>
        <v>0</v>
      </c>
    </row>
    <row r="87" spans="1:16" x14ac:dyDescent="0.25">
      <c r="A87" s="1187" t="s">
        <v>1418</v>
      </c>
      <c r="B87" s="1178"/>
      <c r="C87" s="1178"/>
      <c r="D87" s="1178"/>
      <c r="E87" s="1179">
        <v>0</v>
      </c>
      <c r="F87" s="1178">
        <v>0</v>
      </c>
      <c r="G87" s="1179">
        <v>0</v>
      </c>
      <c r="H87" s="1180">
        <v>0</v>
      </c>
      <c r="I87" s="1180">
        <v>0</v>
      </c>
      <c r="J87" s="1180">
        <v>0</v>
      </c>
      <c r="K87" s="1180">
        <v>0</v>
      </c>
      <c r="L87" s="1180">
        <v>1</v>
      </c>
      <c r="M87" s="1181">
        <v>1</v>
      </c>
      <c r="N87" s="1181">
        <v>0</v>
      </c>
      <c r="O87" s="488">
        <f t="shared" si="25"/>
        <v>0.4</v>
      </c>
      <c r="P87" s="1182">
        <f t="shared" si="26"/>
        <v>6.6956812855708072E-4</v>
      </c>
    </row>
    <row r="88" spans="1:16" x14ac:dyDescent="0.25">
      <c r="A88" s="1187" t="s">
        <v>1561</v>
      </c>
      <c r="B88" s="1178">
        <v>0</v>
      </c>
      <c r="C88" s="1178">
        <v>0</v>
      </c>
      <c r="D88" s="1178">
        <v>0</v>
      </c>
      <c r="E88" s="1179">
        <v>0</v>
      </c>
      <c r="F88" s="1178">
        <v>0</v>
      </c>
      <c r="G88" s="1179">
        <v>0</v>
      </c>
      <c r="H88" s="1180">
        <v>0</v>
      </c>
      <c r="I88" s="1180">
        <v>0</v>
      </c>
      <c r="J88" s="1180">
        <v>0</v>
      </c>
      <c r="K88" s="1180">
        <v>0</v>
      </c>
      <c r="L88" s="1180">
        <v>0</v>
      </c>
      <c r="M88" s="1181">
        <v>0</v>
      </c>
      <c r="N88" s="1181">
        <v>1</v>
      </c>
      <c r="O88" s="488">
        <f t="shared" si="25"/>
        <v>0.2</v>
      </c>
      <c r="P88" s="1182">
        <f t="shared" si="26"/>
        <v>3.3478406427854036E-4</v>
      </c>
    </row>
    <row r="89" spans="1:16" x14ac:dyDescent="0.25">
      <c r="A89" s="1186" t="s">
        <v>1025</v>
      </c>
      <c r="B89" s="1178">
        <v>0</v>
      </c>
      <c r="C89" s="1178">
        <v>0</v>
      </c>
      <c r="D89" s="1178">
        <v>0</v>
      </c>
      <c r="E89" s="1179">
        <v>0</v>
      </c>
      <c r="F89" s="1178">
        <v>1</v>
      </c>
      <c r="G89" s="1179">
        <v>0</v>
      </c>
      <c r="H89" s="1180">
        <v>1</v>
      </c>
      <c r="I89" s="1180">
        <v>0</v>
      </c>
      <c r="J89" s="1180">
        <v>0</v>
      </c>
      <c r="K89" s="1180">
        <v>0</v>
      </c>
      <c r="L89" s="1180">
        <v>0</v>
      </c>
      <c r="M89" s="1181">
        <v>0</v>
      </c>
      <c r="N89" s="1181">
        <v>0</v>
      </c>
      <c r="O89" s="488">
        <f t="shared" si="25"/>
        <v>0</v>
      </c>
      <c r="P89" s="1182">
        <f t="shared" si="26"/>
        <v>0</v>
      </c>
    </row>
    <row r="90" spans="1:16" x14ac:dyDescent="0.25">
      <c r="A90" s="1186" t="s">
        <v>97</v>
      </c>
      <c r="B90" s="1178">
        <v>0</v>
      </c>
      <c r="C90" s="1178">
        <v>0</v>
      </c>
      <c r="D90" s="1178">
        <v>1</v>
      </c>
      <c r="E90" s="1179">
        <v>0</v>
      </c>
      <c r="F90" s="1178">
        <v>1</v>
      </c>
      <c r="G90" s="1179">
        <v>1</v>
      </c>
      <c r="H90" s="1180">
        <v>0</v>
      </c>
      <c r="I90" s="1180">
        <v>0</v>
      </c>
      <c r="J90" s="1180">
        <v>1</v>
      </c>
      <c r="K90" s="1180">
        <v>0</v>
      </c>
      <c r="L90" s="1180">
        <v>0</v>
      </c>
      <c r="M90" s="1181">
        <v>1</v>
      </c>
      <c r="N90" s="1181">
        <v>0</v>
      </c>
      <c r="O90" s="488">
        <f t="shared" si="25"/>
        <v>0.4</v>
      </c>
      <c r="P90" s="1182">
        <f t="shared" si="26"/>
        <v>6.6956812855708072E-4</v>
      </c>
    </row>
    <row r="91" spans="1:16" x14ac:dyDescent="0.25">
      <c r="A91" s="1186" t="s">
        <v>98</v>
      </c>
      <c r="B91" s="1178">
        <v>0</v>
      </c>
      <c r="C91" s="1178">
        <v>0</v>
      </c>
      <c r="D91" s="1178">
        <v>0</v>
      </c>
      <c r="E91" s="1179">
        <v>0</v>
      </c>
      <c r="F91" s="1178">
        <v>0</v>
      </c>
      <c r="G91" s="1179">
        <v>0</v>
      </c>
      <c r="H91" s="1180">
        <v>0</v>
      </c>
      <c r="I91" s="1180">
        <v>0</v>
      </c>
      <c r="J91" s="1180">
        <v>0</v>
      </c>
      <c r="K91" s="1180">
        <v>0</v>
      </c>
      <c r="L91" s="1180">
        <v>0</v>
      </c>
      <c r="M91" s="1180">
        <v>0</v>
      </c>
      <c r="N91" s="1180">
        <v>0</v>
      </c>
      <c r="O91" s="488">
        <f t="shared" si="25"/>
        <v>0</v>
      </c>
      <c r="P91" s="1182">
        <f t="shared" si="26"/>
        <v>0</v>
      </c>
    </row>
    <row r="92" spans="1:16" x14ac:dyDescent="0.25">
      <c r="A92" s="1186" t="s">
        <v>99</v>
      </c>
      <c r="B92" s="1178">
        <v>0</v>
      </c>
      <c r="C92" s="1178">
        <v>0</v>
      </c>
      <c r="D92" s="1178">
        <v>0</v>
      </c>
      <c r="E92" s="1179">
        <v>0</v>
      </c>
      <c r="F92" s="1178">
        <v>0</v>
      </c>
      <c r="G92" s="1179">
        <v>0</v>
      </c>
      <c r="H92" s="1180">
        <v>0</v>
      </c>
      <c r="I92" s="1180">
        <v>0</v>
      </c>
      <c r="J92" s="1180">
        <v>0</v>
      </c>
      <c r="K92" s="1180">
        <v>0</v>
      </c>
      <c r="L92" s="1180">
        <v>0</v>
      </c>
      <c r="M92" s="1180">
        <v>0</v>
      </c>
      <c r="N92" s="1180">
        <v>0</v>
      </c>
      <c r="O92" s="488">
        <f t="shared" si="25"/>
        <v>0</v>
      </c>
      <c r="P92" s="1182">
        <f t="shared" si="26"/>
        <v>0</v>
      </c>
    </row>
    <row r="93" spans="1:16" x14ac:dyDescent="0.25">
      <c r="A93" s="1186" t="s">
        <v>100</v>
      </c>
      <c r="B93" s="1178">
        <v>0</v>
      </c>
      <c r="C93" s="1178">
        <v>0</v>
      </c>
      <c r="D93" s="1178">
        <v>0</v>
      </c>
      <c r="E93" s="1179">
        <v>0</v>
      </c>
      <c r="F93" s="1178">
        <v>0</v>
      </c>
      <c r="G93" s="1179">
        <v>0</v>
      </c>
      <c r="H93" s="1180">
        <v>0</v>
      </c>
      <c r="I93" s="1180">
        <v>0</v>
      </c>
      <c r="J93" s="1180">
        <v>0</v>
      </c>
      <c r="K93" s="1180">
        <v>0</v>
      </c>
      <c r="L93" s="1180">
        <v>0</v>
      </c>
      <c r="M93" s="1180">
        <v>0</v>
      </c>
      <c r="N93" s="1180">
        <v>0</v>
      </c>
      <c r="O93" s="488">
        <f t="shared" si="25"/>
        <v>0</v>
      </c>
      <c r="P93" s="1182">
        <f t="shared" si="26"/>
        <v>0</v>
      </c>
    </row>
    <row r="94" spans="1:16" x14ac:dyDescent="0.25">
      <c r="A94" s="1186" t="s">
        <v>101</v>
      </c>
      <c r="B94" s="1178">
        <v>1</v>
      </c>
      <c r="C94" s="1178">
        <v>2</v>
      </c>
      <c r="D94" s="1178">
        <v>1</v>
      </c>
      <c r="E94" s="1179">
        <v>0</v>
      </c>
      <c r="F94" s="1178">
        <v>0</v>
      </c>
      <c r="G94" s="1179">
        <v>0</v>
      </c>
      <c r="H94" s="1180">
        <v>0</v>
      </c>
      <c r="I94" s="1180">
        <v>0</v>
      </c>
      <c r="J94" s="1180">
        <v>2</v>
      </c>
      <c r="K94" s="1180">
        <v>0</v>
      </c>
      <c r="L94" s="1180">
        <v>0</v>
      </c>
      <c r="M94" s="1180">
        <v>0</v>
      </c>
      <c r="N94" s="1180">
        <v>0</v>
      </c>
      <c r="O94" s="488">
        <f t="shared" si="25"/>
        <v>0.4</v>
      </c>
      <c r="P94" s="1182">
        <f t="shared" si="26"/>
        <v>6.6956812855708072E-4</v>
      </c>
    </row>
    <row r="95" spans="1:16" x14ac:dyDescent="0.25">
      <c r="A95" s="1186" t="s">
        <v>505</v>
      </c>
      <c r="B95" s="1178">
        <v>0</v>
      </c>
      <c r="C95" s="1178">
        <v>0</v>
      </c>
      <c r="D95" s="1178">
        <v>0</v>
      </c>
      <c r="E95" s="1179">
        <v>0</v>
      </c>
      <c r="F95" s="1178">
        <v>0</v>
      </c>
      <c r="G95" s="1179">
        <v>1</v>
      </c>
      <c r="H95" s="1180">
        <v>1</v>
      </c>
      <c r="I95" s="1180">
        <v>0</v>
      </c>
      <c r="J95" s="1180">
        <v>1</v>
      </c>
      <c r="K95" s="1180">
        <v>0</v>
      </c>
      <c r="L95" s="1180">
        <v>2</v>
      </c>
      <c r="M95" s="1180">
        <v>0</v>
      </c>
      <c r="N95" s="1180">
        <v>1</v>
      </c>
      <c r="O95" s="488">
        <f t="shared" si="25"/>
        <v>0.8</v>
      </c>
      <c r="P95" s="1182">
        <f t="shared" si="26"/>
        <v>1.3391362571141614E-3</v>
      </c>
    </row>
    <row r="96" spans="1:16" x14ac:dyDescent="0.25">
      <c r="A96" s="1186" t="s">
        <v>102</v>
      </c>
      <c r="B96" s="1178">
        <v>0</v>
      </c>
      <c r="C96" s="1178">
        <v>1</v>
      </c>
      <c r="D96" s="1178">
        <v>1</v>
      </c>
      <c r="E96" s="1179">
        <v>4</v>
      </c>
      <c r="F96" s="1178">
        <v>1</v>
      </c>
      <c r="G96" s="1179">
        <v>1</v>
      </c>
      <c r="H96" s="1180">
        <v>0</v>
      </c>
      <c r="I96" s="1180">
        <v>0</v>
      </c>
      <c r="J96" s="1180">
        <v>1</v>
      </c>
      <c r="K96" s="1180">
        <v>4</v>
      </c>
      <c r="L96" s="1180">
        <v>1</v>
      </c>
      <c r="M96" s="1181">
        <v>1</v>
      </c>
      <c r="N96" s="1181">
        <v>1</v>
      </c>
      <c r="O96" s="488">
        <f t="shared" si="25"/>
        <v>1.6</v>
      </c>
      <c r="P96" s="1182">
        <f t="shared" si="26"/>
        <v>2.6782725142283229E-3</v>
      </c>
    </row>
    <row r="97" spans="1:16" x14ac:dyDescent="0.25">
      <c r="A97" s="1186" t="s">
        <v>103</v>
      </c>
      <c r="B97" s="1178">
        <v>0</v>
      </c>
      <c r="C97" s="1178">
        <v>2</v>
      </c>
      <c r="D97" s="1178">
        <v>0</v>
      </c>
      <c r="E97" s="1179">
        <v>0</v>
      </c>
      <c r="F97" s="1178">
        <v>4</v>
      </c>
      <c r="G97" s="1179">
        <v>0</v>
      </c>
      <c r="H97" s="1180">
        <v>0</v>
      </c>
      <c r="I97" s="1180">
        <v>0</v>
      </c>
      <c r="J97" s="1180">
        <v>0</v>
      </c>
      <c r="K97" s="1180">
        <v>0</v>
      </c>
      <c r="L97" s="1180">
        <v>0</v>
      </c>
      <c r="M97" s="1181">
        <v>0</v>
      </c>
      <c r="N97" s="1181">
        <v>0</v>
      </c>
      <c r="O97" s="488">
        <f t="shared" si="25"/>
        <v>0</v>
      </c>
      <c r="P97" s="1182">
        <f t="shared" si="26"/>
        <v>0</v>
      </c>
    </row>
    <row r="98" spans="1:16" x14ac:dyDescent="0.25">
      <c r="A98" s="1186" t="s">
        <v>723</v>
      </c>
      <c r="B98" s="1178"/>
      <c r="C98" s="1178">
        <v>0</v>
      </c>
      <c r="D98" s="1178">
        <v>0</v>
      </c>
      <c r="E98" s="1179">
        <v>0</v>
      </c>
      <c r="F98" s="1178">
        <v>0</v>
      </c>
      <c r="G98" s="1179">
        <v>0</v>
      </c>
      <c r="H98" s="1180">
        <v>2</v>
      </c>
      <c r="I98" s="1180">
        <v>0</v>
      </c>
      <c r="J98" s="1180">
        <v>0</v>
      </c>
      <c r="K98" s="1180">
        <v>0</v>
      </c>
      <c r="L98" s="1180">
        <v>0</v>
      </c>
      <c r="M98" s="1181">
        <v>0</v>
      </c>
      <c r="N98" s="1181">
        <v>0</v>
      </c>
      <c r="O98" s="488">
        <f t="shared" si="25"/>
        <v>0</v>
      </c>
      <c r="P98" s="1182">
        <f t="shared" si="26"/>
        <v>0</v>
      </c>
    </row>
    <row r="99" spans="1:16" x14ac:dyDescent="0.25">
      <c r="A99" s="1186" t="s">
        <v>104</v>
      </c>
      <c r="B99" s="1178">
        <v>1</v>
      </c>
      <c r="C99" s="1178">
        <v>0</v>
      </c>
      <c r="D99" s="1178">
        <v>1</v>
      </c>
      <c r="E99" s="1179">
        <v>0</v>
      </c>
      <c r="F99" s="1178">
        <v>1</v>
      </c>
      <c r="G99" s="1179">
        <v>3</v>
      </c>
      <c r="H99" s="1180">
        <v>2</v>
      </c>
      <c r="I99" s="1180">
        <v>3</v>
      </c>
      <c r="J99" s="1180">
        <v>0</v>
      </c>
      <c r="K99" s="1180">
        <v>1</v>
      </c>
      <c r="L99" s="1180">
        <v>1</v>
      </c>
      <c r="M99" s="1181">
        <v>5</v>
      </c>
      <c r="N99" s="1181">
        <v>1</v>
      </c>
      <c r="O99" s="488">
        <f t="shared" si="25"/>
        <v>1.6</v>
      </c>
      <c r="P99" s="1182">
        <f t="shared" si="26"/>
        <v>2.6782725142283229E-3</v>
      </c>
    </row>
    <row r="100" spans="1:16" x14ac:dyDescent="0.25">
      <c r="A100" s="1186" t="s">
        <v>105</v>
      </c>
      <c r="B100" s="1178">
        <v>0</v>
      </c>
      <c r="C100" s="1178">
        <v>0</v>
      </c>
      <c r="D100" s="1178">
        <v>0</v>
      </c>
      <c r="E100" s="1179">
        <v>0</v>
      </c>
      <c r="F100" s="1178">
        <v>0</v>
      </c>
      <c r="G100" s="1179">
        <v>0</v>
      </c>
      <c r="H100" s="1180">
        <v>0</v>
      </c>
      <c r="I100" s="1180">
        <v>0</v>
      </c>
      <c r="J100" s="1180">
        <v>1</v>
      </c>
      <c r="K100" s="1180">
        <v>2</v>
      </c>
      <c r="L100" s="1180">
        <v>0</v>
      </c>
      <c r="M100" s="1181">
        <v>0</v>
      </c>
      <c r="N100" s="1181">
        <v>1</v>
      </c>
      <c r="O100" s="488">
        <f t="shared" si="25"/>
        <v>0.8</v>
      </c>
      <c r="P100" s="1182">
        <f t="shared" si="26"/>
        <v>1.3391362571141614E-3</v>
      </c>
    </row>
    <row r="101" spans="1:16" x14ac:dyDescent="0.25">
      <c r="A101" s="1186" t="s">
        <v>106</v>
      </c>
      <c r="B101" s="1178">
        <v>0</v>
      </c>
      <c r="C101" s="1178">
        <v>0</v>
      </c>
      <c r="D101" s="1178">
        <v>0</v>
      </c>
      <c r="E101" s="1179">
        <v>0</v>
      </c>
      <c r="F101" s="1178">
        <v>0</v>
      </c>
      <c r="G101" s="1179">
        <v>0</v>
      </c>
      <c r="H101" s="1180">
        <v>0</v>
      </c>
      <c r="I101" s="1180">
        <v>0</v>
      </c>
      <c r="J101" s="1180">
        <v>0</v>
      </c>
      <c r="K101" s="1180">
        <v>0</v>
      </c>
      <c r="L101" s="1180">
        <v>0</v>
      </c>
      <c r="M101" s="1181">
        <v>0</v>
      </c>
      <c r="N101" s="1181">
        <v>0</v>
      </c>
      <c r="O101" s="488">
        <f t="shared" si="25"/>
        <v>0</v>
      </c>
      <c r="P101" s="1182">
        <f t="shared" si="26"/>
        <v>0</v>
      </c>
    </row>
    <row r="102" spans="1:16" x14ac:dyDescent="0.25">
      <c r="A102" s="1186" t="s">
        <v>107</v>
      </c>
      <c r="B102" s="1178">
        <v>1</v>
      </c>
      <c r="C102" s="1178">
        <v>0</v>
      </c>
      <c r="D102" s="1178">
        <v>0</v>
      </c>
      <c r="E102" s="1179">
        <v>1</v>
      </c>
      <c r="F102" s="1178">
        <v>0</v>
      </c>
      <c r="G102" s="1179">
        <v>0</v>
      </c>
      <c r="H102" s="1180">
        <v>0</v>
      </c>
      <c r="I102" s="1180">
        <v>0</v>
      </c>
      <c r="J102" s="1180">
        <v>0</v>
      </c>
      <c r="K102" s="1180">
        <v>0</v>
      </c>
      <c r="L102" s="1180">
        <v>0</v>
      </c>
      <c r="M102" s="1181">
        <v>0</v>
      </c>
      <c r="N102" s="1181">
        <v>0</v>
      </c>
      <c r="O102" s="488">
        <f t="shared" si="25"/>
        <v>0</v>
      </c>
      <c r="P102" s="1182">
        <f t="shared" si="26"/>
        <v>0</v>
      </c>
    </row>
    <row r="103" spans="1:16" x14ac:dyDescent="0.25">
      <c r="A103" s="1186" t="s">
        <v>108</v>
      </c>
      <c r="B103" s="1178">
        <v>1</v>
      </c>
      <c r="C103" s="1178">
        <v>0</v>
      </c>
      <c r="D103" s="1178">
        <v>0</v>
      </c>
      <c r="E103" s="1179">
        <v>0</v>
      </c>
      <c r="F103" s="1178">
        <v>1</v>
      </c>
      <c r="G103" s="1179">
        <v>2</v>
      </c>
      <c r="H103" s="1180">
        <v>0</v>
      </c>
      <c r="I103" s="1180">
        <v>0</v>
      </c>
      <c r="J103" s="1180">
        <v>1</v>
      </c>
      <c r="K103" s="1180">
        <v>0</v>
      </c>
      <c r="L103" s="1180">
        <v>0</v>
      </c>
      <c r="M103" s="1181">
        <v>1</v>
      </c>
      <c r="N103" s="1181">
        <v>0</v>
      </c>
      <c r="O103" s="488">
        <f t="shared" si="25"/>
        <v>0.4</v>
      </c>
      <c r="P103" s="1182">
        <f t="shared" si="26"/>
        <v>6.6956812855708072E-4</v>
      </c>
    </row>
    <row r="104" spans="1:16" x14ac:dyDescent="0.25">
      <c r="A104" s="1186" t="s">
        <v>109</v>
      </c>
      <c r="B104" s="1178">
        <v>0</v>
      </c>
      <c r="C104" s="1178">
        <v>0</v>
      </c>
      <c r="D104" s="1178">
        <v>0</v>
      </c>
      <c r="E104" s="1179">
        <v>0</v>
      </c>
      <c r="F104" s="1178">
        <v>2</v>
      </c>
      <c r="G104" s="1179">
        <v>0</v>
      </c>
      <c r="H104" s="1180">
        <v>0</v>
      </c>
      <c r="I104" s="1180">
        <v>0</v>
      </c>
      <c r="J104" s="1180">
        <v>0</v>
      </c>
      <c r="K104" s="1180">
        <v>0</v>
      </c>
      <c r="L104" s="1180">
        <v>2</v>
      </c>
      <c r="M104" s="1181">
        <v>0</v>
      </c>
      <c r="N104" s="1181">
        <v>0</v>
      </c>
      <c r="O104" s="488">
        <f t="shared" si="25"/>
        <v>0.4</v>
      </c>
      <c r="P104" s="1182">
        <f t="shared" si="26"/>
        <v>6.6956812855708072E-4</v>
      </c>
    </row>
    <row r="105" spans="1:16" x14ac:dyDescent="0.25">
      <c r="A105" s="1186" t="s">
        <v>724</v>
      </c>
      <c r="B105" s="1178"/>
      <c r="C105" s="1178">
        <v>0</v>
      </c>
      <c r="D105" s="1178">
        <v>0</v>
      </c>
      <c r="E105" s="1179">
        <v>0</v>
      </c>
      <c r="F105" s="1178">
        <v>0</v>
      </c>
      <c r="G105" s="1179">
        <v>0</v>
      </c>
      <c r="H105" s="1180">
        <v>1</v>
      </c>
      <c r="I105" s="1180">
        <v>6</v>
      </c>
      <c r="J105" s="1180">
        <v>1</v>
      </c>
      <c r="K105" s="1180">
        <v>0</v>
      </c>
      <c r="L105" s="1180">
        <v>0</v>
      </c>
      <c r="M105" s="1181">
        <v>0</v>
      </c>
      <c r="N105" s="1181">
        <v>0</v>
      </c>
      <c r="O105" s="488">
        <f t="shared" si="25"/>
        <v>0.2</v>
      </c>
      <c r="P105" s="1182">
        <f t="shared" si="26"/>
        <v>3.3478406427854036E-4</v>
      </c>
    </row>
    <row r="106" spans="1:16" x14ac:dyDescent="0.25">
      <c r="A106" s="1186" t="s">
        <v>110</v>
      </c>
      <c r="B106" s="1178">
        <v>0</v>
      </c>
      <c r="C106" s="1178">
        <v>0</v>
      </c>
      <c r="D106" s="1178">
        <v>0</v>
      </c>
      <c r="E106" s="1179">
        <v>0</v>
      </c>
      <c r="F106" s="1178">
        <v>0</v>
      </c>
      <c r="G106" s="1179">
        <v>0</v>
      </c>
      <c r="H106" s="1180">
        <v>0</v>
      </c>
      <c r="I106" s="1180">
        <v>0</v>
      </c>
      <c r="J106" s="1180">
        <v>0</v>
      </c>
      <c r="K106" s="1180">
        <v>0</v>
      </c>
      <c r="L106" s="1180">
        <v>0</v>
      </c>
      <c r="M106" s="1181">
        <v>1</v>
      </c>
      <c r="N106" s="1181">
        <v>0</v>
      </c>
      <c r="O106" s="488">
        <f t="shared" si="25"/>
        <v>0.2</v>
      </c>
      <c r="P106" s="1182">
        <f t="shared" si="26"/>
        <v>3.3478406427854036E-4</v>
      </c>
    </row>
    <row r="107" spans="1:16" x14ac:dyDescent="0.25">
      <c r="A107" s="1186" t="s">
        <v>111</v>
      </c>
      <c r="B107" s="1178">
        <v>0</v>
      </c>
      <c r="C107" s="1178">
        <v>0</v>
      </c>
      <c r="D107" s="1178">
        <v>0</v>
      </c>
      <c r="E107" s="1179">
        <v>0</v>
      </c>
      <c r="F107" s="1178">
        <v>0</v>
      </c>
      <c r="G107" s="1179">
        <v>0</v>
      </c>
      <c r="H107" s="1180">
        <v>0</v>
      </c>
      <c r="I107" s="1180">
        <v>0</v>
      </c>
      <c r="J107" s="1180">
        <v>1</v>
      </c>
      <c r="K107" s="1180">
        <v>0</v>
      </c>
      <c r="L107" s="1180">
        <v>3</v>
      </c>
      <c r="M107" s="1181">
        <v>0</v>
      </c>
      <c r="N107" s="1181">
        <v>0</v>
      </c>
      <c r="O107" s="488">
        <f t="shared" si="25"/>
        <v>0.8</v>
      </c>
      <c r="P107" s="1182">
        <f t="shared" si="26"/>
        <v>1.3391362571141614E-3</v>
      </c>
    </row>
    <row r="108" spans="1:16" x14ac:dyDescent="0.25">
      <c r="A108" s="1186" t="s">
        <v>112</v>
      </c>
      <c r="B108" s="1178">
        <v>0</v>
      </c>
      <c r="C108" s="1178">
        <v>0</v>
      </c>
      <c r="D108" s="1178">
        <v>0</v>
      </c>
      <c r="E108" s="1179">
        <v>0</v>
      </c>
      <c r="F108" s="1178">
        <v>0</v>
      </c>
      <c r="G108" s="1179">
        <v>0</v>
      </c>
      <c r="H108" s="1180">
        <v>0</v>
      </c>
      <c r="I108" s="1180">
        <v>0</v>
      </c>
      <c r="J108" s="1180">
        <v>0</v>
      </c>
      <c r="K108" s="1180">
        <v>0</v>
      </c>
      <c r="L108" s="1180">
        <v>0</v>
      </c>
      <c r="M108" s="1181">
        <v>0</v>
      </c>
      <c r="N108" s="1181">
        <v>0</v>
      </c>
      <c r="O108" s="488">
        <f t="shared" si="25"/>
        <v>0</v>
      </c>
      <c r="P108" s="1182">
        <f t="shared" si="26"/>
        <v>0</v>
      </c>
    </row>
    <row r="109" spans="1:16" x14ac:dyDescent="0.25">
      <c r="A109" s="1186" t="s">
        <v>113</v>
      </c>
      <c r="B109" s="1178">
        <v>0</v>
      </c>
      <c r="C109" s="1178">
        <v>0</v>
      </c>
      <c r="D109" s="1178">
        <v>1</v>
      </c>
      <c r="E109" s="1179">
        <v>0</v>
      </c>
      <c r="F109" s="1178">
        <v>0</v>
      </c>
      <c r="G109" s="1179">
        <v>0</v>
      </c>
      <c r="H109" s="1180">
        <v>0</v>
      </c>
      <c r="I109" s="1180">
        <v>0</v>
      </c>
      <c r="J109" s="1180">
        <v>0</v>
      </c>
      <c r="K109" s="1180">
        <v>0</v>
      </c>
      <c r="L109" s="1180">
        <v>0</v>
      </c>
      <c r="M109" s="1181">
        <v>0</v>
      </c>
      <c r="N109" s="1181">
        <v>0</v>
      </c>
      <c r="O109" s="488">
        <f t="shared" si="25"/>
        <v>0</v>
      </c>
      <c r="P109" s="1182">
        <f t="shared" si="26"/>
        <v>0</v>
      </c>
    </row>
    <row r="110" spans="1:16" x14ac:dyDescent="0.25">
      <c r="A110" s="1186" t="s">
        <v>114</v>
      </c>
      <c r="B110" s="1178">
        <v>1</v>
      </c>
      <c r="C110" s="1178">
        <v>1</v>
      </c>
      <c r="D110" s="1178">
        <v>0</v>
      </c>
      <c r="E110" s="1179">
        <v>0</v>
      </c>
      <c r="F110" s="1178">
        <v>0</v>
      </c>
      <c r="G110" s="1179">
        <v>0</v>
      </c>
      <c r="H110" s="1180">
        <v>0</v>
      </c>
      <c r="I110" s="1180">
        <v>0</v>
      </c>
      <c r="J110" s="1180">
        <v>0</v>
      </c>
      <c r="K110" s="1180">
        <v>0</v>
      </c>
      <c r="L110" s="1180">
        <v>0</v>
      </c>
      <c r="M110" s="1181">
        <v>0</v>
      </c>
      <c r="N110" s="1181">
        <v>0</v>
      </c>
      <c r="O110" s="488">
        <f t="shared" si="25"/>
        <v>0</v>
      </c>
      <c r="P110" s="1182">
        <f t="shared" si="26"/>
        <v>0</v>
      </c>
    </row>
    <row r="111" spans="1:16" x14ac:dyDescent="0.25">
      <c r="A111" s="1186" t="s">
        <v>115</v>
      </c>
      <c r="B111" s="1178">
        <v>1</v>
      </c>
      <c r="C111" s="1178">
        <v>0</v>
      </c>
      <c r="D111" s="1178">
        <v>0</v>
      </c>
      <c r="E111" s="1179">
        <v>0</v>
      </c>
      <c r="F111" s="1178">
        <v>0</v>
      </c>
      <c r="G111" s="1179">
        <v>0</v>
      </c>
      <c r="H111" s="1180">
        <v>0</v>
      </c>
      <c r="I111" s="1180">
        <v>0</v>
      </c>
      <c r="J111" s="1180">
        <v>0</v>
      </c>
      <c r="K111" s="1180">
        <v>0</v>
      </c>
      <c r="L111" s="1180">
        <v>0</v>
      </c>
      <c r="M111" s="1181">
        <v>0</v>
      </c>
      <c r="N111" s="1181">
        <v>0</v>
      </c>
      <c r="O111" s="488">
        <f t="shared" si="25"/>
        <v>0</v>
      </c>
      <c r="P111" s="1182">
        <f t="shared" si="26"/>
        <v>0</v>
      </c>
    </row>
    <row r="112" spans="1:16" x14ac:dyDescent="0.25">
      <c r="A112" s="1186" t="s">
        <v>116</v>
      </c>
      <c r="B112" s="1178">
        <v>2</v>
      </c>
      <c r="C112" s="1178">
        <v>0</v>
      </c>
      <c r="D112" s="1178">
        <v>1</v>
      </c>
      <c r="E112" s="1179">
        <v>0</v>
      </c>
      <c r="F112" s="1178">
        <v>0</v>
      </c>
      <c r="G112" s="1179">
        <v>0</v>
      </c>
      <c r="H112" s="1180">
        <v>0</v>
      </c>
      <c r="I112" s="1180">
        <v>0</v>
      </c>
      <c r="J112" s="1180">
        <v>0</v>
      </c>
      <c r="K112" s="1180">
        <v>0</v>
      </c>
      <c r="L112" s="1180">
        <v>0</v>
      </c>
      <c r="M112" s="1181">
        <v>0</v>
      </c>
      <c r="N112" s="1181">
        <v>0</v>
      </c>
      <c r="O112" s="488">
        <f t="shared" si="25"/>
        <v>0</v>
      </c>
      <c r="P112" s="1182">
        <f t="shared" si="26"/>
        <v>0</v>
      </c>
    </row>
    <row r="113" spans="1:16" x14ac:dyDescent="0.25">
      <c r="A113" s="1186" t="s">
        <v>117</v>
      </c>
      <c r="B113" s="1178">
        <v>0</v>
      </c>
      <c r="C113" s="1178">
        <v>0</v>
      </c>
      <c r="D113" s="1178">
        <v>0</v>
      </c>
      <c r="E113" s="1179">
        <v>0</v>
      </c>
      <c r="F113" s="1178">
        <v>0</v>
      </c>
      <c r="G113" s="1179">
        <v>0</v>
      </c>
      <c r="H113" s="1180">
        <v>0</v>
      </c>
      <c r="I113" s="1180">
        <v>0</v>
      </c>
      <c r="J113" s="1180">
        <v>0</v>
      </c>
      <c r="K113" s="1180">
        <v>0</v>
      </c>
      <c r="L113" s="1180">
        <v>0</v>
      </c>
      <c r="M113" s="1181">
        <v>0</v>
      </c>
      <c r="N113" s="1181">
        <v>0</v>
      </c>
      <c r="O113" s="488">
        <f t="shared" si="25"/>
        <v>0</v>
      </c>
      <c r="P113" s="1182">
        <f t="shared" si="26"/>
        <v>0</v>
      </c>
    </row>
    <row r="114" spans="1:16" x14ac:dyDescent="0.25">
      <c r="A114" s="1186" t="s">
        <v>118</v>
      </c>
      <c r="B114" s="1178">
        <v>0</v>
      </c>
      <c r="C114" s="1178">
        <v>1</v>
      </c>
      <c r="D114" s="1178">
        <v>1</v>
      </c>
      <c r="E114" s="1179">
        <v>2</v>
      </c>
      <c r="F114" s="1178">
        <v>5</v>
      </c>
      <c r="G114" s="1179">
        <v>4</v>
      </c>
      <c r="H114" s="1180">
        <v>3</v>
      </c>
      <c r="I114" s="1180">
        <v>0</v>
      </c>
      <c r="J114" s="1180">
        <v>2</v>
      </c>
      <c r="K114" s="1180">
        <v>1</v>
      </c>
      <c r="L114" s="1180">
        <v>2</v>
      </c>
      <c r="M114" s="1181">
        <v>1</v>
      </c>
      <c r="N114" s="1181">
        <v>0</v>
      </c>
      <c r="O114" s="488">
        <f t="shared" si="25"/>
        <v>1.2</v>
      </c>
      <c r="P114" s="1182">
        <f t="shared" si="26"/>
        <v>2.0087043856712419E-3</v>
      </c>
    </row>
    <row r="115" spans="1:16" x14ac:dyDescent="0.25">
      <c r="A115" s="1186" t="s">
        <v>119</v>
      </c>
      <c r="B115" s="1178">
        <v>0</v>
      </c>
      <c r="C115" s="1178">
        <v>0</v>
      </c>
      <c r="D115" s="1178">
        <v>1</v>
      </c>
      <c r="E115" s="1179">
        <v>0</v>
      </c>
      <c r="F115" s="1178">
        <v>0</v>
      </c>
      <c r="G115" s="1179">
        <v>0</v>
      </c>
      <c r="H115" s="1180">
        <v>0</v>
      </c>
      <c r="I115" s="1180">
        <v>1</v>
      </c>
      <c r="J115" s="1180">
        <v>0</v>
      </c>
      <c r="K115" s="1180">
        <v>0</v>
      </c>
      <c r="L115" s="1180">
        <v>0</v>
      </c>
      <c r="M115" s="1181">
        <v>0</v>
      </c>
      <c r="N115" s="1181">
        <v>0</v>
      </c>
      <c r="O115" s="488">
        <f t="shared" si="25"/>
        <v>0</v>
      </c>
      <c r="P115" s="1182">
        <f t="shared" si="26"/>
        <v>0</v>
      </c>
    </row>
    <row r="116" spans="1:16" x14ac:dyDescent="0.25">
      <c r="A116" s="1186" t="s">
        <v>120</v>
      </c>
      <c r="B116" s="1178">
        <v>3</v>
      </c>
      <c r="C116" s="1178">
        <v>1</v>
      </c>
      <c r="D116" s="1178">
        <v>1</v>
      </c>
      <c r="E116" s="1179">
        <v>1</v>
      </c>
      <c r="F116" s="1178">
        <v>9</v>
      </c>
      <c r="G116" s="1179">
        <v>6</v>
      </c>
      <c r="H116" s="1180">
        <v>3</v>
      </c>
      <c r="I116" s="1180">
        <v>3</v>
      </c>
      <c r="J116" s="1180">
        <v>0</v>
      </c>
      <c r="K116" s="1180">
        <v>1</v>
      </c>
      <c r="L116" s="1180">
        <v>4</v>
      </c>
      <c r="M116" s="1181">
        <v>2</v>
      </c>
      <c r="N116" s="1181">
        <v>5</v>
      </c>
      <c r="O116" s="488">
        <f t="shared" si="25"/>
        <v>2.4</v>
      </c>
      <c r="P116" s="1182">
        <f t="shared" si="26"/>
        <v>4.0174087713424839E-3</v>
      </c>
    </row>
    <row r="117" spans="1:16" x14ac:dyDescent="0.25">
      <c r="A117" s="1186" t="s">
        <v>1108</v>
      </c>
      <c r="B117" s="1178">
        <v>0</v>
      </c>
      <c r="C117" s="1178">
        <v>0</v>
      </c>
      <c r="D117" s="1178">
        <v>0</v>
      </c>
      <c r="E117" s="1179">
        <v>2</v>
      </c>
      <c r="F117" s="1178">
        <v>6</v>
      </c>
      <c r="G117" s="1179">
        <v>5</v>
      </c>
      <c r="H117" s="1180">
        <v>2</v>
      </c>
      <c r="I117" s="1180">
        <v>0</v>
      </c>
      <c r="J117" s="1180">
        <v>0</v>
      </c>
      <c r="K117" s="1180">
        <v>0</v>
      </c>
      <c r="L117" s="1180">
        <v>3</v>
      </c>
      <c r="M117" s="1180">
        <v>0</v>
      </c>
      <c r="N117" s="1180">
        <v>1</v>
      </c>
      <c r="O117" s="488">
        <f t="shared" si="25"/>
        <v>0.8</v>
      </c>
      <c r="P117" s="1182">
        <f t="shared" si="26"/>
        <v>1.3391362571141614E-3</v>
      </c>
    </row>
    <row r="118" spans="1:16" s="1183" customFormat="1" x14ac:dyDescent="0.25">
      <c r="A118" s="493" t="s">
        <v>35</v>
      </c>
      <c r="B118" s="471">
        <f t="shared" ref="B118:M118" si="27">SUM(B82:B117)</f>
        <v>12</v>
      </c>
      <c r="C118" s="471">
        <f t="shared" si="27"/>
        <v>10</v>
      </c>
      <c r="D118" s="471">
        <f t="shared" si="27"/>
        <v>10</v>
      </c>
      <c r="E118" s="663">
        <f t="shared" si="27"/>
        <v>10</v>
      </c>
      <c r="F118" s="471">
        <f t="shared" si="27"/>
        <v>32</v>
      </c>
      <c r="G118" s="663">
        <f t="shared" si="27"/>
        <v>23</v>
      </c>
      <c r="H118" s="488">
        <f t="shared" si="27"/>
        <v>15</v>
      </c>
      <c r="I118" s="488">
        <f t="shared" si="27"/>
        <v>13</v>
      </c>
      <c r="J118" s="488">
        <f t="shared" si="27"/>
        <v>11</v>
      </c>
      <c r="K118" s="488">
        <f t="shared" si="27"/>
        <v>10</v>
      </c>
      <c r="L118" s="488">
        <f t="shared" si="27"/>
        <v>20</v>
      </c>
      <c r="M118" s="488">
        <f t="shared" si="27"/>
        <v>13</v>
      </c>
      <c r="N118" s="488">
        <f t="shared" ref="N118" si="28">SUM(N82:N117)</f>
        <v>11</v>
      </c>
      <c r="O118" s="488">
        <f t="shared" si="25"/>
        <v>13</v>
      </c>
      <c r="P118" s="494">
        <f>SUM(P82:P117)</f>
        <v>2.1760964178105122E-2</v>
      </c>
    </row>
    <row r="119" spans="1:16" x14ac:dyDescent="0.25">
      <c r="A119" s="492" t="s">
        <v>121</v>
      </c>
      <c r="B119" s="470" t="s">
        <v>853</v>
      </c>
      <c r="C119" s="470" t="s">
        <v>585</v>
      </c>
      <c r="D119" s="470" t="s">
        <v>1307</v>
      </c>
      <c r="E119" s="662" t="s">
        <v>560</v>
      </c>
      <c r="F119" s="470" t="s">
        <v>866</v>
      </c>
      <c r="G119" s="662" t="s">
        <v>620</v>
      </c>
      <c r="H119" s="489" t="s">
        <v>720</v>
      </c>
      <c r="I119" s="487" t="s">
        <v>915</v>
      </c>
      <c r="J119" s="487" t="s">
        <v>1364</v>
      </c>
      <c r="K119" s="487" t="s">
        <v>1385</v>
      </c>
      <c r="L119" s="487" t="s">
        <v>1386</v>
      </c>
      <c r="M119" s="1429" t="s">
        <v>1387</v>
      </c>
      <c r="N119" s="1429" t="s">
        <v>1535</v>
      </c>
      <c r="O119" s="489" t="s">
        <v>30</v>
      </c>
      <c r="P119" s="489" t="s">
        <v>31</v>
      </c>
    </row>
    <row r="120" spans="1:16" x14ac:dyDescent="0.25">
      <c r="A120" s="1186" t="s">
        <v>122</v>
      </c>
      <c r="B120" s="1178">
        <v>0</v>
      </c>
      <c r="C120" s="1178">
        <v>1</v>
      </c>
      <c r="D120" s="1178">
        <v>0</v>
      </c>
      <c r="E120" s="1179">
        <v>0</v>
      </c>
      <c r="F120" s="1178">
        <v>0</v>
      </c>
      <c r="G120" s="1179">
        <v>0</v>
      </c>
      <c r="H120" s="1180">
        <v>0</v>
      </c>
      <c r="I120" s="1180">
        <v>1</v>
      </c>
      <c r="J120" s="1180">
        <v>0</v>
      </c>
      <c r="K120" s="1180">
        <v>1</v>
      </c>
      <c r="L120" s="1180">
        <v>1</v>
      </c>
      <c r="M120" s="1180">
        <v>0</v>
      </c>
      <c r="N120" s="1180">
        <v>2</v>
      </c>
      <c r="O120" s="488">
        <f t="shared" ref="O120:O123" si="29">AVERAGE(J120:N120)</f>
        <v>0.8</v>
      </c>
      <c r="P120" s="1182">
        <f>+O120/$O$452</f>
        <v>1.3391362571141614E-3</v>
      </c>
    </row>
    <row r="121" spans="1:16" x14ac:dyDescent="0.25">
      <c r="A121" s="1186" t="s">
        <v>123</v>
      </c>
      <c r="B121" s="1178">
        <v>0</v>
      </c>
      <c r="C121" s="1178">
        <v>0</v>
      </c>
      <c r="D121" s="1178">
        <v>1</v>
      </c>
      <c r="E121" s="1179">
        <v>0</v>
      </c>
      <c r="F121" s="1178">
        <v>0</v>
      </c>
      <c r="G121" s="1179">
        <v>0</v>
      </c>
      <c r="H121" s="1180">
        <v>0</v>
      </c>
      <c r="I121" s="1180">
        <v>0</v>
      </c>
      <c r="J121" s="1180">
        <v>0</v>
      </c>
      <c r="K121" s="1180">
        <v>0</v>
      </c>
      <c r="L121" s="1180">
        <v>0</v>
      </c>
      <c r="M121" s="1180">
        <v>0</v>
      </c>
      <c r="N121" s="1180">
        <v>0</v>
      </c>
      <c r="O121" s="488">
        <f t="shared" si="29"/>
        <v>0</v>
      </c>
      <c r="P121" s="1182">
        <f>+O121/$O$452</f>
        <v>0</v>
      </c>
    </row>
    <row r="122" spans="1:16" x14ac:dyDescent="0.25">
      <c r="A122" s="1186" t="s">
        <v>124</v>
      </c>
      <c r="B122" s="1178">
        <v>1</v>
      </c>
      <c r="C122" s="1178">
        <v>2</v>
      </c>
      <c r="D122" s="1178">
        <v>0</v>
      </c>
      <c r="E122" s="1179">
        <v>1</v>
      </c>
      <c r="F122" s="1178">
        <v>2</v>
      </c>
      <c r="G122" s="1179">
        <v>4</v>
      </c>
      <c r="H122" s="1180">
        <v>3</v>
      </c>
      <c r="I122" s="1180">
        <v>3</v>
      </c>
      <c r="J122" s="1180">
        <v>4</v>
      </c>
      <c r="K122" s="1180">
        <v>0</v>
      </c>
      <c r="L122" s="1180">
        <v>3</v>
      </c>
      <c r="M122" s="1181">
        <v>2</v>
      </c>
      <c r="N122" s="1181">
        <v>4</v>
      </c>
      <c r="O122" s="488">
        <f t="shared" si="29"/>
        <v>2.6</v>
      </c>
      <c r="P122" s="1182">
        <f>+O122/$O$452</f>
        <v>4.352192835621025E-3</v>
      </c>
    </row>
    <row r="123" spans="1:16" x14ac:dyDescent="0.25">
      <c r="A123" s="495" t="s">
        <v>35</v>
      </c>
      <c r="B123" s="471">
        <f t="shared" ref="B123:J123" si="30">SUM(B120:B122)</f>
        <v>1</v>
      </c>
      <c r="C123" s="471">
        <f t="shared" si="30"/>
        <v>3</v>
      </c>
      <c r="D123" s="471">
        <f t="shared" si="30"/>
        <v>1</v>
      </c>
      <c r="E123" s="663">
        <f t="shared" si="30"/>
        <v>1</v>
      </c>
      <c r="F123" s="471">
        <f t="shared" si="30"/>
        <v>2</v>
      </c>
      <c r="G123" s="663">
        <f t="shared" si="30"/>
        <v>4</v>
      </c>
      <c r="H123" s="488">
        <f t="shared" si="30"/>
        <v>3</v>
      </c>
      <c r="I123" s="488">
        <f t="shared" si="30"/>
        <v>4</v>
      </c>
      <c r="J123" s="488">
        <f t="shared" si="30"/>
        <v>4</v>
      </c>
      <c r="K123" s="488">
        <f>SUM(K120:K122)</f>
        <v>1</v>
      </c>
      <c r="L123" s="488">
        <f>SUM(L120:L122)</f>
        <v>4</v>
      </c>
      <c r="M123" s="488">
        <f>SUM(M120:M122)</f>
        <v>2</v>
      </c>
      <c r="N123" s="488">
        <f>SUM(N120:N122)</f>
        <v>6</v>
      </c>
      <c r="O123" s="488">
        <f t="shared" si="29"/>
        <v>3.4</v>
      </c>
      <c r="P123" s="494">
        <f>SUM(P120:P122)</f>
        <v>5.691329092735186E-3</v>
      </c>
    </row>
    <row r="124" spans="1:16" x14ac:dyDescent="0.25">
      <c r="A124" s="492" t="s">
        <v>125</v>
      </c>
      <c r="B124" s="470" t="s">
        <v>853</v>
      </c>
      <c r="C124" s="470" t="s">
        <v>585</v>
      </c>
      <c r="D124" s="470" t="s">
        <v>1307</v>
      </c>
      <c r="E124" s="662" t="s">
        <v>560</v>
      </c>
      <c r="F124" s="470" t="s">
        <v>866</v>
      </c>
      <c r="G124" s="662" t="s">
        <v>620</v>
      </c>
      <c r="H124" s="489" t="s">
        <v>720</v>
      </c>
      <c r="I124" s="487" t="s">
        <v>915</v>
      </c>
      <c r="J124" s="487" t="s">
        <v>1364</v>
      </c>
      <c r="K124" s="487" t="s">
        <v>1385</v>
      </c>
      <c r="L124" s="487" t="s">
        <v>1386</v>
      </c>
      <c r="M124" s="1429" t="s">
        <v>1387</v>
      </c>
      <c r="N124" s="1429" t="s">
        <v>1535</v>
      </c>
      <c r="O124" s="489" t="s">
        <v>30</v>
      </c>
      <c r="P124" s="489" t="s">
        <v>31</v>
      </c>
    </row>
    <row r="125" spans="1:16" x14ac:dyDescent="0.25">
      <c r="A125" s="1186" t="s">
        <v>126</v>
      </c>
      <c r="B125" s="1178">
        <v>1</v>
      </c>
      <c r="C125" s="1178">
        <v>2</v>
      </c>
      <c r="D125" s="1178">
        <v>3</v>
      </c>
      <c r="E125" s="1179">
        <v>9</v>
      </c>
      <c r="F125" s="1178">
        <v>3</v>
      </c>
      <c r="G125" s="1179">
        <v>5</v>
      </c>
      <c r="H125" s="1180">
        <v>1</v>
      </c>
      <c r="I125" s="1180">
        <v>1</v>
      </c>
      <c r="J125" s="1180">
        <v>6</v>
      </c>
      <c r="K125" s="1180">
        <v>0</v>
      </c>
      <c r="L125" s="1180">
        <v>3</v>
      </c>
      <c r="M125" s="1181">
        <v>2</v>
      </c>
      <c r="N125" s="1181">
        <v>9</v>
      </c>
      <c r="O125" s="488">
        <f t="shared" ref="O125:O128" si="31">AVERAGE(J125:N125)</f>
        <v>4</v>
      </c>
      <c r="P125" s="1182">
        <f>+O125/$O$452</f>
        <v>6.6956812855708068E-3</v>
      </c>
    </row>
    <row r="126" spans="1:16" x14ac:dyDescent="0.25">
      <c r="A126" s="1186" t="s">
        <v>127</v>
      </c>
      <c r="B126" s="1178">
        <v>0</v>
      </c>
      <c r="C126" s="1178">
        <v>1</v>
      </c>
      <c r="D126" s="1178">
        <v>1</v>
      </c>
      <c r="E126" s="1179">
        <v>0</v>
      </c>
      <c r="F126" s="1178">
        <v>0</v>
      </c>
      <c r="G126" s="1179">
        <v>0</v>
      </c>
      <c r="H126" s="1180">
        <v>0</v>
      </c>
      <c r="I126" s="1180">
        <v>0</v>
      </c>
      <c r="J126" s="1180">
        <v>3</v>
      </c>
      <c r="K126" s="1180">
        <v>0</v>
      </c>
      <c r="L126" s="1180">
        <v>1</v>
      </c>
      <c r="M126" s="1181">
        <v>1</v>
      </c>
      <c r="N126" s="1181">
        <v>0</v>
      </c>
      <c r="O126" s="488">
        <f t="shared" si="31"/>
        <v>1</v>
      </c>
      <c r="P126" s="1182">
        <f>+O126/$O$452</f>
        <v>1.6739203213927017E-3</v>
      </c>
    </row>
    <row r="127" spans="1:16" x14ac:dyDescent="0.25">
      <c r="A127" s="1186" t="s">
        <v>133</v>
      </c>
      <c r="B127" s="1178">
        <v>0</v>
      </c>
      <c r="C127" s="1178">
        <v>0</v>
      </c>
      <c r="D127" s="1178">
        <v>2</v>
      </c>
      <c r="E127" s="1179">
        <v>0</v>
      </c>
      <c r="F127" s="1178">
        <v>1</v>
      </c>
      <c r="G127" s="1179">
        <v>0</v>
      </c>
      <c r="H127" s="1180">
        <v>1</v>
      </c>
      <c r="I127" s="1180">
        <v>1</v>
      </c>
      <c r="J127" s="1180">
        <v>0</v>
      </c>
      <c r="K127" s="1180">
        <v>0</v>
      </c>
      <c r="L127" s="1180">
        <v>1</v>
      </c>
      <c r="M127" s="1181">
        <v>1</v>
      </c>
      <c r="N127" s="1181">
        <v>4</v>
      </c>
      <c r="O127" s="488">
        <f t="shared" si="31"/>
        <v>1.2</v>
      </c>
      <c r="P127" s="1182">
        <f>+O127/$O$452</f>
        <v>2.0087043856712419E-3</v>
      </c>
    </row>
    <row r="128" spans="1:16" s="1183" customFormat="1" x14ac:dyDescent="0.25">
      <c r="A128" s="493" t="s">
        <v>35</v>
      </c>
      <c r="B128" s="471">
        <f t="shared" ref="B128:J128" si="32">SUM(B125:B127)</f>
        <v>1</v>
      </c>
      <c r="C128" s="471">
        <f t="shared" si="32"/>
        <v>3</v>
      </c>
      <c r="D128" s="471">
        <f t="shared" si="32"/>
        <v>6</v>
      </c>
      <c r="E128" s="663">
        <f t="shared" si="32"/>
        <v>9</v>
      </c>
      <c r="F128" s="471">
        <f t="shared" si="32"/>
        <v>4</v>
      </c>
      <c r="G128" s="663">
        <f t="shared" si="32"/>
        <v>5</v>
      </c>
      <c r="H128" s="488">
        <f t="shared" si="32"/>
        <v>2</v>
      </c>
      <c r="I128" s="488">
        <f t="shared" si="32"/>
        <v>2</v>
      </c>
      <c r="J128" s="488">
        <f t="shared" si="32"/>
        <v>9</v>
      </c>
      <c r="K128" s="488">
        <f>SUM(K125:K127)</f>
        <v>0</v>
      </c>
      <c r="L128" s="488">
        <f>SUM(L125:L127)</f>
        <v>5</v>
      </c>
      <c r="M128" s="488">
        <f>SUM(M125:M127)</f>
        <v>4</v>
      </c>
      <c r="N128" s="488">
        <f>SUM(N125:N127)</f>
        <v>13</v>
      </c>
      <c r="O128" s="488">
        <f t="shared" si="31"/>
        <v>6.2</v>
      </c>
      <c r="P128" s="494">
        <f>SUM(P125:P127)</f>
        <v>1.037830599263475E-2</v>
      </c>
    </row>
    <row r="129" spans="1:16" x14ac:dyDescent="0.25">
      <c r="A129" s="492" t="s">
        <v>134</v>
      </c>
      <c r="B129" s="470" t="s">
        <v>853</v>
      </c>
      <c r="C129" s="470" t="s">
        <v>585</v>
      </c>
      <c r="D129" s="470" t="s">
        <v>1307</v>
      </c>
      <c r="E129" s="662" t="s">
        <v>560</v>
      </c>
      <c r="F129" s="470" t="s">
        <v>866</v>
      </c>
      <c r="G129" s="662" t="s">
        <v>620</v>
      </c>
      <c r="H129" s="489" t="s">
        <v>720</v>
      </c>
      <c r="I129" s="487" t="s">
        <v>915</v>
      </c>
      <c r="J129" s="487" t="s">
        <v>1364</v>
      </c>
      <c r="K129" s="487" t="s">
        <v>1385</v>
      </c>
      <c r="L129" s="487" t="s">
        <v>1386</v>
      </c>
      <c r="M129" s="1429" t="s">
        <v>1387</v>
      </c>
      <c r="N129" s="1429" t="s">
        <v>1535</v>
      </c>
      <c r="O129" s="489" t="s">
        <v>30</v>
      </c>
      <c r="P129" s="489" t="s">
        <v>31</v>
      </c>
    </row>
    <row r="130" spans="1:16" x14ac:dyDescent="0.25">
      <c r="A130" s="1186" t="s">
        <v>135</v>
      </c>
      <c r="B130" s="1178">
        <v>1</v>
      </c>
      <c r="C130" s="1178">
        <v>0</v>
      </c>
      <c r="D130" s="1178">
        <v>1</v>
      </c>
      <c r="E130" s="1179">
        <v>1</v>
      </c>
      <c r="F130" s="1178">
        <v>0</v>
      </c>
      <c r="G130" s="1179">
        <v>1</v>
      </c>
      <c r="H130" s="1180">
        <v>2</v>
      </c>
      <c r="I130" s="1180">
        <v>3</v>
      </c>
      <c r="J130" s="1180">
        <v>2</v>
      </c>
      <c r="K130" s="1180">
        <v>2</v>
      </c>
      <c r="L130" s="1180">
        <v>0</v>
      </c>
      <c r="M130" s="1181">
        <v>0</v>
      </c>
      <c r="N130" s="1181">
        <v>2</v>
      </c>
      <c r="O130" s="488">
        <f t="shared" ref="O130:O135" si="33">AVERAGE(J130:N130)</f>
        <v>1.2</v>
      </c>
      <c r="P130" s="1182">
        <f>+O130/$O$452</f>
        <v>2.0087043856712419E-3</v>
      </c>
    </row>
    <row r="131" spans="1:16" x14ac:dyDescent="0.25">
      <c r="A131" s="1186" t="s">
        <v>136</v>
      </c>
      <c r="B131" s="1178">
        <v>1</v>
      </c>
      <c r="C131" s="1178">
        <v>0</v>
      </c>
      <c r="D131" s="1178">
        <v>0</v>
      </c>
      <c r="E131" s="1179">
        <v>0</v>
      </c>
      <c r="F131" s="1178">
        <v>2</v>
      </c>
      <c r="G131" s="1179">
        <v>1</v>
      </c>
      <c r="H131" s="1180">
        <v>0</v>
      </c>
      <c r="I131" s="1180">
        <v>0</v>
      </c>
      <c r="J131" s="1180">
        <v>1</v>
      </c>
      <c r="K131" s="1180">
        <v>2</v>
      </c>
      <c r="L131" s="1180">
        <v>1</v>
      </c>
      <c r="M131" s="1181">
        <v>1</v>
      </c>
      <c r="N131" s="1181">
        <v>1</v>
      </c>
      <c r="O131" s="488">
        <f t="shared" si="33"/>
        <v>1.2</v>
      </c>
      <c r="P131" s="1182">
        <f>+O131/$O$452</f>
        <v>2.0087043856712419E-3</v>
      </c>
    </row>
    <row r="132" spans="1:16" x14ac:dyDescent="0.25">
      <c r="A132" s="1186" t="s">
        <v>137</v>
      </c>
      <c r="B132" s="1178">
        <v>1</v>
      </c>
      <c r="C132" s="1178">
        <v>2</v>
      </c>
      <c r="D132" s="1178">
        <v>1</v>
      </c>
      <c r="E132" s="1179">
        <v>0</v>
      </c>
      <c r="F132" s="1178">
        <v>1</v>
      </c>
      <c r="G132" s="1179">
        <v>2</v>
      </c>
      <c r="H132" s="1180">
        <v>0</v>
      </c>
      <c r="I132" s="1180">
        <v>0</v>
      </c>
      <c r="J132" s="1180">
        <v>5</v>
      </c>
      <c r="K132" s="1180">
        <v>0</v>
      </c>
      <c r="L132" s="1180">
        <v>0</v>
      </c>
      <c r="M132" s="1181">
        <v>4</v>
      </c>
      <c r="N132" s="1181">
        <v>0</v>
      </c>
      <c r="O132" s="488">
        <f t="shared" si="33"/>
        <v>1.8</v>
      </c>
      <c r="P132" s="1182">
        <f>+O132/$O$452</f>
        <v>3.0130565785068631E-3</v>
      </c>
    </row>
    <row r="133" spans="1:16" x14ac:dyDescent="0.25">
      <c r="A133" s="1186" t="s">
        <v>138</v>
      </c>
      <c r="B133" s="1178">
        <v>1</v>
      </c>
      <c r="C133" s="1178">
        <v>0</v>
      </c>
      <c r="D133" s="1178">
        <v>0</v>
      </c>
      <c r="E133" s="1179">
        <v>0</v>
      </c>
      <c r="F133" s="1178">
        <v>0</v>
      </c>
      <c r="G133" s="1179">
        <v>0</v>
      </c>
      <c r="H133" s="1180">
        <v>0</v>
      </c>
      <c r="I133" s="1180">
        <v>0</v>
      </c>
      <c r="J133" s="1180">
        <v>0</v>
      </c>
      <c r="K133" s="1180">
        <v>4</v>
      </c>
      <c r="L133" s="1180">
        <v>1</v>
      </c>
      <c r="M133" s="1180">
        <v>0</v>
      </c>
      <c r="N133" s="1181">
        <v>0</v>
      </c>
      <c r="O133" s="488">
        <f t="shared" si="33"/>
        <v>1</v>
      </c>
      <c r="P133" s="1182">
        <f>+O133/$O$452</f>
        <v>1.6739203213927017E-3</v>
      </c>
    </row>
    <row r="134" spans="1:16" x14ac:dyDescent="0.25">
      <c r="A134" s="1186" t="s">
        <v>139</v>
      </c>
      <c r="B134" s="1178">
        <v>0</v>
      </c>
      <c r="C134" s="1178">
        <v>0</v>
      </c>
      <c r="D134" s="1178">
        <v>2</v>
      </c>
      <c r="E134" s="1179">
        <v>0</v>
      </c>
      <c r="F134" s="1178">
        <v>0</v>
      </c>
      <c r="G134" s="1179">
        <v>0</v>
      </c>
      <c r="H134" s="1180">
        <v>0</v>
      </c>
      <c r="I134" s="1180">
        <v>0</v>
      </c>
      <c r="J134" s="1180">
        <v>0</v>
      </c>
      <c r="K134" s="1180">
        <v>0</v>
      </c>
      <c r="L134" s="1180">
        <v>0</v>
      </c>
      <c r="M134" s="1180">
        <v>0</v>
      </c>
      <c r="N134" s="1181">
        <v>0</v>
      </c>
      <c r="O134" s="488">
        <f t="shared" si="33"/>
        <v>0</v>
      </c>
      <c r="P134" s="1182">
        <f>+O134/$O$452</f>
        <v>0</v>
      </c>
    </row>
    <row r="135" spans="1:16" s="1183" customFormat="1" x14ac:dyDescent="0.25">
      <c r="A135" s="493" t="s">
        <v>35</v>
      </c>
      <c r="B135" s="471">
        <f t="shared" ref="B135:J135" si="34">SUM(B130:B134)</f>
        <v>4</v>
      </c>
      <c r="C135" s="471">
        <f t="shared" si="34"/>
        <v>2</v>
      </c>
      <c r="D135" s="471">
        <f t="shared" si="34"/>
        <v>4</v>
      </c>
      <c r="E135" s="663">
        <f t="shared" si="34"/>
        <v>1</v>
      </c>
      <c r="F135" s="471">
        <f t="shared" si="34"/>
        <v>3</v>
      </c>
      <c r="G135" s="663">
        <f t="shared" si="34"/>
        <v>4</v>
      </c>
      <c r="H135" s="488">
        <f t="shared" si="34"/>
        <v>2</v>
      </c>
      <c r="I135" s="488">
        <f t="shared" si="34"/>
        <v>3</v>
      </c>
      <c r="J135" s="488">
        <f t="shared" si="34"/>
        <v>8</v>
      </c>
      <c r="K135" s="488">
        <f>SUM(K130:K134)</f>
        <v>8</v>
      </c>
      <c r="L135" s="488">
        <f>SUM(L130:L134)</f>
        <v>2</v>
      </c>
      <c r="M135" s="488">
        <f>SUM(M130:M134)</f>
        <v>5</v>
      </c>
      <c r="N135" s="488">
        <f>SUM(N130:N134)</f>
        <v>3</v>
      </c>
      <c r="O135" s="488">
        <f t="shared" si="33"/>
        <v>5.2</v>
      </c>
      <c r="P135" s="494">
        <f>SUM(P130:P134)</f>
        <v>8.7043856712420483E-3</v>
      </c>
    </row>
    <row r="136" spans="1:16" x14ac:dyDescent="0.25">
      <c r="A136" s="492" t="s">
        <v>140</v>
      </c>
      <c r="B136" s="470" t="s">
        <v>853</v>
      </c>
      <c r="C136" s="470" t="s">
        <v>585</v>
      </c>
      <c r="D136" s="470" t="s">
        <v>1307</v>
      </c>
      <c r="E136" s="662" t="s">
        <v>560</v>
      </c>
      <c r="F136" s="470" t="s">
        <v>866</v>
      </c>
      <c r="G136" s="662" t="s">
        <v>620</v>
      </c>
      <c r="H136" s="489" t="s">
        <v>720</v>
      </c>
      <c r="I136" s="487" t="s">
        <v>915</v>
      </c>
      <c r="J136" s="487" t="s">
        <v>1364</v>
      </c>
      <c r="K136" s="487" t="s">
        <v>1385</v>
      </c>
      <c r="L136" s="487" t="s">
        <v>1386</v>
      </c>
      <c r="M136" s="1429" t="s">
        <v>1387</v>
      </c>
      <c r="N136" s="1429" t="s">
        <v>1535</v>
      </c>
      <c r="O136" s="489" t="s">
        <v>30</v>
      </c>
      <c r="P136" s="489" t="s">
        <v>31</v>
      </c>
    </row>
    <row r="137" spans="1:16" x14ac:dyDescent="0.25">
      <c r="A137" s="1186" t="s">
        <v>141</v>
      </c>
      <c r="B137" s="1178">
        <v>0</v>
      </c>
      <c r="C137" s="1178">
        <v>0</v>
      </c>
      <c r="D137" s="1178">
        <v>0</v>
      </c>
      <c r="E137" s="1179">
        <v>0</v>
      </c>
      <c r="F137" s="1178">
        <v>0</v>
      </c>
      <c r="G137" s="1179">
        <v>0</v>
      </c>
      <c r="H137" s="1180">
        <v>0</v>
      </c>
      <c r="I137" s="1180">
        <v>0</v>
      </c>
      <c r="J137" s="1180">
        <v>0</v>
      </c>
      <c r="K137" s="1180">
        <v>0</v>
      </c>
      <c r="L137" s="1180">
        <v>0</v>
      </c>
      <c r="M137" s="1180">
        <v>0</v>
      </c>
      <c r="N137" s="1181">
        <v>0</v>
      </c>
      <c r="O137" s="488">
        <f t="shared" ref="O137:O142" si="35">AVERAGE(J137:N137)</f>
        <v>0</v>
      </c>
      <c r="P137" s="1182">
        <f>+O137/$O$452</f>
        <v>0</v>
      </c>
    </row>
    <row r="138" spans="1:16" x14ac:dyDescent="0.25">
      <c r="A138" s="1186" t="s">
        <v>142</v>
      </c>
      <c r="B138" s="1178">
        <v>0</v>
      </c>
      <c r="C138" s="1178">
        <v>0</v>
      </c>
      <c r="D138" s="1178">
        <v>0</v>
      </c>
      <c r="E138" s="1179">
        <v>0</v>
      </c>
      <c r="F138" s="1178">
        <v>1</v>
      </c>
      <c r="G138" s="1179">
        <v>0</v>
      </c>
      <c r="H138" s="1180">
        <v>1</v>
      </c>
      <c r="I138" s="1180">
        <v>0</v>
      </c>
      <c r="J138" s="1180">
        <v>0</v>
      </c>
      <c r="K138" s="1180">
        <v>0</v>
      </c>
      <c r="L138" s="1180">
        <v>0</v>
      </c>
      <c r="M138" s="1180">
        <v>0</v>
      </c>
      <c r="N138" s="1181">
        <v>0</v>
      </c>
      <c r="O138" s="488">
        <f t="shared" si="35"/>
        <v>0</v>
      </c>
      <c r="P138" s="1182">
        <f>+O138/$O$452</f>
        <v>0</v>
      </c>
    </row>
    <row r="139" spans="1:16" x14ac:dyDescent="0.25">
      <c r="A139" s="1186" t="s">
        <v>143</v>
      </c>
      <c r="B139" s="1178">
        <v>1</v>
      </c>
      <c r="C139" s="1178">
        <v>1</v>
      </c>
      <c r="D139" s="1178">
        <v>0</v>
      </c>
      <c r="E139" s="1179">
        <v>1</v>
      </c>
      <c r="F139" s="1178">
        <v>0</v>
      </c>
      <c r="G139" s="1179">
        <v>0</v>
      </c>
      <c r="H139" s="1180">
        <v>0</v>
      </c>
      <c r="I139" s="1180">
        <v>0</v>
      </c>
      <c r="J139" s="1180">
        <v>1</v>
      </c>
      <c r="K139" s="1180">
        <v>0</v>
      </c>
      <c r="L139" s="1180">
        <v>0</v>
      </c>
      <c r="M139" s="1180">
        <v>0</v>
      </c>
      <c r="N139" s="1180">
        <v>1</v>
      </c>
      <c r="O139" s="488">
        <f t="shared" si="35"/>
        <v>0.4</v>
      </c>
      <c r="P139" s="1182">
        <f>+O139/$O$452</f>
        <v>6.6956812855708072E-4</v>
      </c>
    </row>
    <row r="140" spans="1:16" x14ac:dyDescent="0.25">
      <c r="A140" s="1186" t="s">
        <v>144</v>
      </c>
      <c r="B140" s="1178">
        <v>0</v>
      </c>
      <c r="C140" s="1178">
        <v>0</v>
      </c>
      <c r="D140" s="1178">
        <v>0</v>
      </c>
      <c r="E140" s="1179">
        <v>0</v>
      </c>
      <c r="F140" s="1178">
        <v>0</v>
      </c>
      <c r="G140" s="1179">
        <v>0</v>
      </c>
      <c r="H140" s="1180">
        <v>0</v>
      </c>
      <c r="I140" s="1180">
        <v>0</v>
      </c>
      <c r="J140" s="1180">
        <v>0</v>
      </c>
      <c r="K140" s="1180">
        <v>0</v>
      </c>
      <c r="L140" s="1180">
        <v>1</v>
      </c>
      <c r="M140" s="1180">
        <v>0</v>
      </c>
      <c r="N140" s="1180">
        <v>1</v>
      </c>
      <c r="O140" s="488">
        <f t="shared" si="35"/>
        <v>0.4</v>
      </c>
      <c r="P140" s="1182">
        <f>+O140/$O$452</f>
        <v>6.6956812855708072E-4</v>
      </c>
    </row>
    <row r="141" spans="1:16" x14ac:dyDescent="0.25">
      <c r="A141" s="1186" t="s">
        <v>145</v>
      </c>
      <c r="B141" s="1178">
        <v>0</v>
      </c>
      <c r="C141" s="1178">
        <v>0</v>
      </c>
      <c r="D141" s="1178">
        <v>1</v>
      </c>
      <c r="E141" s="1179">
        <v>0</v>
      </c>
      <c r="F141" s="1178">
        <v>0</v>
      </c>
      <c r="G141" s="1179">
        <v>0</v>
      </c>
      <c r="H141" s="1180">
        <v>0</v>
      </c>
      <c r="I141" s="1180">
        <v>0</v>
      </c>
      <c r="J141" s="1180">
        <v>0</v>
      </c>
      <c r="K141" s="1180">
        <v>0</v>
      </c>
      <c r="L141" s="1180">
        <v>0</v>
      </c>
      <c r="M141" s="1181">
        <v>1</v>
      </c>
      <c r="N141" s="1181">
        <v>0</v>
      </c>
      <c r="O141" s="488">
        <f t="shared" si="35"/>
        <v>0.2</v>
      </c>
      <c r="P141" s="1182">
        <f>+O141/$O$452</f>
        <v>3.3478406427854036E-4</v>
      </c>
    </row>
    <row r="142" spans="1:16" x14ac:dyDescent="0.25">
      <c r="A142" s="495" t="s">
        <v>35</v>
      </c>
      <c r="B142" s="471">
        <f t="shared" ref="B142:J142" si="36">SUM(B137:B141)</f>
        <v>1</v>
      </c>
      <c r="C142" s="471">
        <f t="shared" si="36"/>
        <v>1</v>
      </c>
      <c r="D142" s="471">
        <f t="shared" si="36"/>
        <v>1</v>
      </c>
      <c r="E142" s="663">
        <f t="shared" si="36"/>
        <v>1</v>
      </c>
      <c r="F142" s="471">
        <f t="shared" si="36"/>
        <v>1</v>
      </c>
      <c r="G142" s="663">
        <f t="shared" si="36"/>
        <v>0</v>
      </c>
      <c r="H142" s="488">
        <f t="shared" si="36"/>
        <v>1</v>
      </c>
      <c r="I142" s="488">
        <f t="shared" si="36"/>
        <v>0</v>
      </c>
      <c r="J142" s="488">
        <f t="shared" si="36"/>
        <v>1</v>
      </c>
      <c r="K142" s="488">
        <f>SUM(K137:K141)</f>
        <v>0</v>
      </c>
      <c r="L142" s="488">
        <f>SUM(L137:L141)</f>
        <v>1</v>
      </c>
      <c r="M142" s="488">
        <f>SUM(M137:M141)</f>
        <v>1</v>
      </c>
      <c r="N142" s="488">
        <f>SUM(N137:N141)</f>
        <v>2</v>
      </c>
      <c r="O142" s="488">
        <f t="shared" si="35"/>
        <v>1</v>
      </c>
      <c r="P142" s="494">
        <f>SUM(P137:P141)</f>
        <v>1.6739203213927017E-3</v>
      </c>
    </row>
    <row r="143" spans="1:16" x14ac:dyDescent="0.25">
      <c r="A143" s="492" t="s">
        <v>146</v>
      </c>
      <c r="B143" s="470" t="s">
        <v>853</v>
      </c>
      <c r="C143" s="470" t="s">
        <v>585</v>
      </c>
      <c r="D143" s="470" t="s">
        <v>1307</v>
      </c>
      <c r="E143" s="662" t="s">
        <v>560</v>
      </c>
      <c r="F143" s="470" t="s">
        <v>866</v>
      </c>
      <c r="G143" s="662" t="s">
        <v>620</v>
      </c>
      <c r="H143" s="489" t="s">
        <v>720</v>
      </c>
      <c r="I143" s="487" t="s">
        <v>915</v>
      </c>
      <c r="J143" s="487" t="s">
        <v>1364</v>
      </c>
      <c r="K143" s="487" t="s">
        <v>1385</v>
      </c>
      <c r="L143" s="487" t="s">
        <v>1386</v>
      </c>
      <c r="M143" s="1429" t="s">
        <v>1387</v>
      </c>
      <c r="N143" s="1429" t="s">
        <v>1535</v>
      </c>
      <c r="O143" s="489" t="s">
        <v>30</v>
      </c>
      <c r="P143" s="489" t="s">
        <v>31</v>
      </c>
    </row>
    <row r="144" spans="1:16" x14ac:dyDescent="0.25">
      <c r="A144" s="1186" t="s">
        <v>1109</v>
      </c>
      <c r="B144" s="1178">
        <v>0</v>
      </c>
      <c r="C144" s="1178">
        <v>0</v>
      </c>
      <c r="D144" s="1178">
        <v>0</v>
      </c>
      <c r="E144" s="1179">
        <v>1</v>
      </c>
      <c r="F144" s="1178">
        <v>3</v>
      </c>
      <c r="G144" s="1179">
        <v>2</v>
      </c>
      <c r="H144" s="1180">
        <v>1</v>
      </c>
      <c r="I144" s="1180">
        <v>0</v>
      </c>
      <c r="J144" s="1180">
        <v>0</v>
      </c>
      <c r="K144" s="1180">
        <v>5</v>
      </c>
      <c r="L144" s="1180">
        <v>2</v>
      </c>
      <c r="M144" s="1181">
        <v>4</v>
      </c>
      <c r="N144" s="1181">
        <v>0</v>
      </c>
      <c r="O144" s="488">
        <f t="shared" ref="O144:O148" si="37">AVERAGE(J144:N144)</f>
        <v>2.2000000000000002</v>
      </c>
      <c r="P144" s="1182">
        <f>+O144/$O$452</f>
        <v>3.6826247070639441E-3</v>
      </c>
    </row>
    <row r="145" spans="1:16" x14ac:dyDescent="0.25">
      <c r="A145" s="1186" t="s">
        <v>148</v>
      </c>
      <c r="B145" s="1178">
        <v>1</v>
      </c>
      <c r="C145" s="1178">
        <v>0</v>
      </c>
      <c r="D145" s="1178">
        <v>0</v>
      </c>
      <c r="E145" s="1179">
        <v>0</v>
      </c>
      <c r="F145" s="1178">
        <v>0</v>
      </c>
      <c r="G145" s="1179">
        <v>0</v>
      </c>
      <c r="H145" s="1180">
        <v>0</v>
      </c>
      <c r="I145" s="1180">
        <v>0</v>
      </c>
      <c r="J145" s="1180">
        <v>0</v>
      </c>
      <c r="K145" s="1180">
        <v>0</v>
      </c>
      <c r="L145" s="1180">
        <v>0</v>
      </c>
      <c r="M145" s="1180">
        <v>0</v>
      </c>
      <c r="N145" s="1181">
        <v>0</v>
      </c>
      <c r="O145" s="488">
        <f t="shared" si="37"/>
        <v>0</v>
      </c>
      <c r="P145" s="1182">
        <f>+O145/$O$452</f>
        <v>0</v>
      </c>
    </row>
    <row r="146" spans="1:16" x14ac:dyDescent="0.25">
      <c r="A146" s="1192" t="s">
        <v>149</v>
      </c>
      <c r="B146" s="1189">
        <v>0</v>
      </c>
      <c r="C146" s="1189">
        <v>0</v>
      </c>
      <c r="D146" s="1189">
        <v>0</v>
      </c>
      <c r="E146" s="1190">
        <v>0</v>
      </c>
      <c r="F146" s="1189">
        <v>0</v>
      </c>
      <c r="G146" s="1190">
        <v>0</v>
      </c>
      <c r="H146" s="1191">
        <v>0</v>
      </c>
      <c r="I146" s="1191">
        <v>0</v>
      </c>
      <c r="J146" s="1191">
        <v>0</v>
      </c>
      <c r="K146" s="1191">
        <v>0</v>
      </c>
      <c r="L146" s="1191">
        <v>0</v>
      </c>
      <c r="M146" s="1191">
        <v>0</v>
      </c>
      <c r="N146" s="1181">
        <v>0</v>
      </c>
      <c r="O146" s="488">
        <f t="shared" si="37"/>
        <v>0</v>
      </c>
      <c r="P146" s="1182">
        <f>+O146/$O$452</f>
        <v>0</v>
      </c>
    </row>
    <row r="147" spans="1:16" x14ac:dyDescent="0.25">
      <c r="A147" s="1186" t="s">
        <v>150</v>
      </c>
      <c r="B147" s="1178">
        <v>3</v>
      </c>
      <c r="C147" s="1178">
        <v>3</v>
      </c>
      <c r="D147" s="1178">
        <v>3</v>
      </c>
      <c r="E147" s="1179">
        <v>1</v>
      </c>
      <c r="F147" s="1178">
        <v>0</v>
      </c>
      <c r="G147" s="1179">
        <v>0</v>
      </c>
      <c r="H147" s="1180">
        <v>0</v>
      </c>
      <c r="I147" s="1180">
        <v>0</v>
      </c>
      <c r="J147" s="1180">
        <v>0</v>
      </c>
      <c r="K147" s="1180">
        <v>0</v>
      </c>
      <c r="L147" s="1180">
        <v>0</v>
      </c>
      <c r="M147" s="1180">
        <v>0</v>
      </c>
      <c r="N147" s="1181">
        <v>0</v>
      </c>
      <c r="O147" s="488">
        <f t="shared" si="37"/>
        <v>0</v>
      </c>
      <c r="P147" s="1182">
        <f>+O147/$O$452</f>
        <v>0</v>
      </c>
    </row>
    <row r="148" spans="1:16" x14ac:dyDescent="0.25">
      <c r="A148" s="495" t="s">
        <v>35</v>
      </c>
      <c r="B148" s="471">
        <f t="shared" ref="B148:J148" si="38">SUM(B144:B147)</f>
        <v>4</v>
      </c>
      <c r="C148" s="471">
        <f t="shared" si="38"/>
        <v>3</v>
      </c>
      <c r="D148" s="471">
        <f t="shared" si="38"/>
        <v>3</v>
      </c>
      <c r="E148" s="663">
        <f t="shared" si="38"/>
        <v>2</v>
      </c>
      <c r="F148" s="471">
        <f t="shared" si="38"/>
        <v>3</v>
      </c>
      <c r="G148" s="663">
        <f t="shared" si="38"/>
        <v>2</v>
      </c>
      <c r="H148" s="488">
        <f t="shared" si="38"/>
        <v>1</v>
      </c>
      <c r="I148" s="488">
        <f t="shared" si="38"/>
        <v>0</v>
      </c>
      <c r="J148" s="488">
        <f t="shared" si="38"/>
        <v>0</v>
      </c>
      <c r="K148" s="488">
        <f>SUM(K144:K147)</f>
        <v>5</v>
      </c>
      <c r="L148" s="488">
        <f>SUM(L144:L147)</f>
        <v>2</v>
      </c>
      <c r="M148" s="488">
        <f>SUM(M144:M147)</f>
        <v>4</v>
      </c>
      <c r="N148" s="488">
        <f>SUM(N144:N147)</f>
        <v>0</v>
      </c>
      <c r="O148" s="488">
        <f t="shared" si="37"/>
        <v>2.2000000000000002</v>
      </c>
      <c r="P148" s="494">
        <f>SUM(P144:P147)</f>
        <v>3.6826247070639441E-3</v>
      </c>
    </row>
    <row r="149" spans="1:16" x14ac:dyDescent="0.25">
      <c r="A149" s="492" t="s">
        <v>151</v>
      </c>
      <c r="B149" s="470" t="s">
        <v>853</v>
      </c>
      <c r="C149" s="470" t="s">
        <v>585</v>
      </c>
      <c r="D149" s="470" t="s">
        <v>1307</v>
      </c>
      <c r="E149" s="662" t="s">
        <v>560</v>
      </c>
      <c r="F149" s="470" t="s">
        <v>866</v>
      </c>
      <c r="G149" s="662" t="s">
        <v>620</v>
      </c>
      <c r="H149" s="489" t="s">
        <v>720</v>
      </c>
      <c r="I149" s="487" t="s">
        <v>915</v>
      </c>
      <c r="J149" s="487" t="s">
        <v>1364</v>
      </c>
      <c r="K149" s="487" t="s">
        <v>1385</v>
      </c>
      <c r="L149" s="487" t="s">
        <v>1386</v>
      </c>
      <c r="M149" s="1429" t="s">
        <v>1387</v>
      </c>
      <c r="N149" s="1429" t="s">
        <v>1535</v>
      </c>
      <c r="O149" s="489" t="s">
        <v>30</v>
      </c>
      <c r="P149" s="489" t="s">
        <v>31</v>
      </c>
    </row>
    <row r="150" spans="1:16" x14ac:dyDescent="0.25">
      <c r="A150" s="1186" t="s">
        <v>152</v>
      </c>
      <c r="B150" s="1178">
        <v>0</v>
      </c>
      <c r="C150" s="1178">
        <v>0</v>
      </c>
      <c r="D150" s="1178">
        <v>0</v>
      </c>
      <c r="E150" s="1179">
        <v>0</v>
      </c>
      <c r="F150" s="1178">
        <v>0</v>
      </c>
      <c r="G150" s="1179">
        <v>1</v>
      </c>
      <c r="H150" s="1180">
        <v>0</v>
      </c>
      <c r="I150" s="1180">
        <v>0</v>
      </c>
      <c r="J150" s="1180">
        <v>0</v>
      </c>
      <c r="K150" s="1180">
        <v>2</v>
      </c>
      <c r="L150" s="1180">
        <v>0</v>
      </c>
      <c r="M150" s="1180">
        <v>1</v>
      </c>
      <c r="N150" s="1180">
        <v>3</v>
      </c>
      <c r="O150" s="488">
        <f t="shared" ref="O150:O155" si="39">AVERAGE(J150:N150)</f>
        <v>1.2</v>
      </c>
      <c r="P150" s="1182">
        <f>+O150/$O$452</f>
        <v>2.0087043856712419E-3</v>
      </c>
    </row>
    <row r="151" spans="1:16" x14ac:dyDescent="0.25">
      <c r="A151" s="1186" t="s">
        <v>153</v>
      </c>
      <c r="B151" s="1178">
        <v>0</v>
      </c>
      <c r="C151" s="1178">
        <v>0</v>
      </c>
      <c r="D151" s="1178">
        <v>0</v>
      </c>
      <c r="E151" s="1179">
        <v>0</v>
      </c>
      <c r="F151" s="1178">
        <v>0</v>
      </c>
      <c r="G151" s="1179">
        <v>0</v>
      </c>
      <c r="H151" s="1180">
        <v>0</v>
      </c>
      <c r="I151" s="1180">
        <v>0</v>
      </c>
      <c r="J151" s="1180">
        <v>0</v>
      </c>
      <c r="K151" s="1180">
        <v>0</v>
      </c>
      <c r="L151" s="1180">
        <v>0</v>
      </c>
      <c r="M151" s="1180">
        <v>0</v>
      </c>
      <c r="N151" s="1180">
        <v>0</v>
      </c>
      <c r="O151" s="488">
        <f t="shared" si="39"/>
        <v>0</v>
      </c>
      <c r="P151" s="1182">
        <f>+O151/$O$452</f>
        <v>0</v>
      </c>
    </row>
    <row r="152" spans="1:16" x14ac:dyDescent="0.25">
      <c r="A152" s="1186" t="s">
        <v>154</v>
      </c>
      <c r="B152" s="1178">
        <v>1</v>
      </c>
      <c r="C152" s="1178">
        <v>1</v>
      </c>
      <c r="D152" s="1178">
        <v>3</v>
      </c>
      <c r="E152" s="1179">
        <v>11</v>
      </c>
      <c r="F152" s="1178">
        <v>3</v>
      </c>
      <c r="G152" s="1179">
        <v>1</v>
      </c>
      <c r="H152" s="1180">
        <v>0</v>
      </c>
      <c r="I152" s="1180">
        <v>0</v>
      </c>
      <c r="J152" s="1180">
        <v>1</v>
      </c>
      <c r="K152" s="1180">
        <v>1</v>
      </c>
      <c r="L152" s="1180">
        <v>1</v>
      </c>
      <c r="M152" s="1180">
        <v>0</v>
      </c>
      <c r="N152" s="1180">
        <v>3</v>
      </c>
      <c r="O152" s="488">
        <f t="shared" si="39"/>
        <v>1.2</v>
      </c>
      <c r="P152" s="1182">
        <f>+O152/$O$452</f>
        <v>2.0087043856712419E-3</v>
      </c>
    </row>
    <row r="153" spans="1:16" x14ac:dyDescent="0.25">
      <c r="A153" s="1186" t="s">
        <v>155</v>
      </c>
      <c r="B153" s="1178">
        <v>0</v>
      </c>
      <c r="C153" s="1178">
        <v>0</v>
      </c>
      <c r="D153" s="1178">
        <v>2</v>
      </c>
      <c r="E153" s="1179">
        <v>0</v>
      </c>
      <c r="F153" s="1178">
        <v>0</v>
      </c>
      <c r="G153" s="1179">
        <v>0</v>
      </c>
      <c r="H153" s="1180">
        <v>0</v>
      </c>
      <c r="I153" s="1180">
        <v>0</v>
      </c>
      <c r="J153" s="1180">
        <v>2</v>
      </c>
      <c r="K153" s="1180">
        <v>0</v>
      </c>
      <c r="L153" s="1180">
        <v>0</v>
      </c>
      <c r="M153" s="1180">
        <v>0</v>
      </c>
      <c r="N153" s="1180">
        <v>0</v>
      </c>
      <c r="O153" s="488">
        <f t="shared" si="39"/>
        <v>0.4</v>
      </c>
      <c r="P153" s="1182">
        <f>+O153/$O$452</f>
        <v>6.6956812855708072E-4</v>
      </c>
    </row>
    <row r="154" spans="1:16" x14ac:dyDescent="0.25">
      <c r="A154" s="1192" t="s">
        <v>156</v>
      </c>
      <c r="B154" s="1189">
        <v>0</v>
      </c>
      <c r="C154" s="1189">
        <v>1</v>
      </c>
      <c r="D154" s="1189">
        <v>0</v>
      </c>
      <c r="E154" s="1190">
        <v>4</v>
      </c>
      <c r="F154" s="1189">
        <v>0</v>
      </c>
      <c r="G154" s="1190">
        <v>0</v>
      </c>
      <c r="H154" s="1191">
        <v>2</v>
      </c>
      <c r="I154" s="1191">
        <v>2</v>
      </c>
      <c r="J154" s="1191">
        <v>2</v>
      </c>
      <c r="K154" s="1191">
        <v>1</v>
      </c>
      <c r="L154" s="1191">
        <v>4</v>
      </c>
      <c r="M154" s="1181">
        <v>2</v>
      </c>
      <c r="N154" s="1181">
        <v>2</v>
      </c>
      <c r="O154" s="488">
        <f t="shared" si="39"/>
        <v>2.2000000000000002</v>
      </c>
      <c r="P154" s="1182">
        <f>+O154/$O$452</f>
        <v>3.6826247070639441E-3</v>
      </c>
    </row>
    <row r="155" spans="1:16" x14ac:dyDescent="0.25">
      <c r="A155" s="495" t="s">
        <v>35</v>
      </c>
      <c r="B155" s="471">
        <f t="shared" ref="B155:J155" si="40">SUM(B150:B154)</f>
        <v>1</v>
      </c>
      <c r="C155" s="471">
        <f t="shared" si="40"/>
        <v>2</v>
      </c>
      <c r="D155" s="471">
        <f t="shared" si="40"/>
        <v>5</v>
      </c>
      <c r="E155" s="663">
        <f t="shared" si="40"/>
        <v>15</v>
      </c>
      <c r="F155" s="471">
        <f t="shared" si="40"/>
        <v>3</v>
      </c>
      <c r="G155" s="663">
        <f t="shared" si="40"/>
        <v>2</v>
      </c>
      <c r="H155" s="488">
        <f t="shared" si="40"/>
        <v>2</v>
      </c>
      <c r="I155" s="488">
        <f t="shared" si="40"/>
        <v>2</v>
      </c>
      <c r="J155" s="488">
        <f t="shared" si="40"/>
        <v>5</v>
      </c>
      <c r="K155" s="488">
        <f>SUM(K150:K154)</f>
        <v>4</v>
      </c>
      <c r="L155" s="488">
        <f>SUM(L150:L154)</f>
        <v>5</v>
      </c>
      <c r="M155" s="488">
        <f>SUM(M150:M154)</f>
        <v>3</v>
      </c>
      <c r="N155" s="488">
        <f>SUM(N150:N154)</f>
        <v>8</v>
      </c>
      <c r="O155" s="488">
        <f t="shared" si="39"/>
        <v>5</v>
      </c>
      <c r="P155" s="494">
        <f>SUM(P150:P154)</f>
        <v>8.3696016069635081E-3</v>
      </c>
    </row>
    <row r="156" spans="1:16" x14ac:dyDescent="0.25">
      <c r="A156" s="492" t="s">
        <v>157</v>
      </c>
      <c r="B156" s="470" t="s">
        <v>853</v>
      </c>
      <c r="C156" s="470" t="s">
        <v>585</v>
      </c>
      <c r="D156" s="470" t="s">
        <v>1307</v>
      </c>
      <c r="E156" s="662" t="s">
        <v>560</v>
      </c>
      <c r="F156" s="470" t="s">
        <v>866</v>
      </c>
      <c r="G156" s="662" t="s">
        <v>620</v>
      </c>
      <c r="H156" s="489" t="s">
        <v>720</v>
      </c>
      <c r="I156" s="487" t="s">
        <v>915</v>
      </c>
      <c r="J156" s="487" t="s">
        <v>1364</v>
      </c>
      <c r="K156" s="487" t="s">
        <v>1385</v>
      </c>
      <c r="L156" s="487" t="s">
        <v>1386</v>
      </c>
      <c r="M156" s="1429" t="s">
        <v>1387</v>
      </c>
      <c r="N156" s="1429" t="s">
        <v>1535</v>
      </c>
      <c r="O156" s="489" t="s">
        <v>30</v>
      </c>
      <c r="P156" s="489" t="s">
        <v>31</v>
      </c>
    </row>
    <row r="157" spans="1:16" x14ac:dyDescent="0.25">
      <c r="A157" s="1186" t="s">
        <v>158</v>
      </c>
      <c r="B157" s="1178">
        <v>1</v>
      </c>
      <c r="C157" s="1178">
        <v>0</v>
      </c>
      <c r="D157" s="1178">
        <v>1</v>
      </c>
      <c r="E157" s="1179">
        <v>2</v>
      </c>
      <c r="F157" s="1178">
        <v>1</v>
      </c>
      <c r="G157" s="1179">
        <v>1</v>
      </c>
      <c r="H157" s="1180">
        <v>0</v>
      </c>
      <c r="I157" s="1180">
        <v>0</v>
      </c>
      <c r="J157" s="1180">
        <v>0</v>
      </c>
      <c r="K157" s="1180">
        <v>0</v>
      </c>
      <c r="L157" s="1180">
        <v>0</v>
      </c>
      <c r="M157" s="1181">
        <v>2</v>
      </c>
      <c r="N157" s="1181">
        <v>0</v>
      </c>
      <c r="O157" s="488">
        <f t="shared" ref="O157:O162" si="41">AVERAGE(J157:N157)</f>
        <v>0.4</v>
      </c>
      <c r="P157" s="1182">
        <f>+O157/$O$452</f>
        <v>6.6956812855708072E-4</v>
      </c>
    </row>
    <row r="158" spans="1:16" x14ac:dyDescent="0.25">
      <c r="A158" s="1186" t="s">
        <v>1026</v>
      </c>
      <c r="B158" s="1178">
        <v>0</v>
      </c>
      <c r="C158" s="1178">
        <v>0</v>
      </c>
      <c r="D158" s="1178">
        <v>0</v>
      </c>
      <c r="E158" s="1179">
        <v>0</v>
      </c>
      <c r="F158" s="1178">
        <v>4</v>
      </c>
      <c r="G158" s="1179">
        <v>0</v>
      </c>
      <c r="H158" s="1180">
        <v>0</v>
      </c>
      <c r="I158" s="1180">
        <v>2</v>
      </c>
      <c r="J158" s="1180">
        <v>0</v>
      </c>
      <c r="K158" s="1180">
        <v>0</v>
      </c>
      <c r="L158" s="1180">
        <v>2</v>
      </c>
      <c r="M158" s="1180">
        <v>0</v>
      </c>
      <c r="N158" s="1180">
        <v>0</v>
      </c>
      <c r="O158" s="488">
        <f t="shared" si="41"/>
        <v>0.4</v>
      </c>
      <c r="P158" s="1182">
        <f>+O158/$O$452</f>
        <v>6.6956812855708072E-4</v>
      </c>
    </row>
    <row r="159" spans="1:16" x14ac:dyDescent="0.25">
      <c r="A159" s="1186" t="s">
        <v>159</v>
      </c>
      <c r="B159" s="1178">
        <v>1</v>
      </c>
      <c r="C159" s="1178">
        <v>6</v>
      </c>
      <c r="D159" s="1178">
        <v>1</v>
      </c>
      <c r="E159" s="1179">
        <v>1</v>
      </c>
      <c r="F159" s="1178">
        <v>1</v>
      </c>
      <c r="G159" s="1179">
        <v>2</v>
      </c>
      <c r="H159" s="1180">
        <v>1</v>
      </c>
      <c r="I159" s="1180">
        <v>0</v>
      </c>
      <c r="J159" s="1180">
        <v>0</v>
      </c>
      <c r="K159" s="1180">
        <v>1</v>
      </c>
      <c r="L159" s="1180">
        <v>1</v>
      </c>
      <c r="M159" s="1180">
        <v>0</v>
      </c>
      <c r="N159" s="1180">
        <v>0</v>
      </c>
      <c r="O159" s="488">
        <f t="shared" si="41"/>
        <v>0.4</v>
      </c>
      <c r="P159" s="1182">
        <f>+O159/$O$452</f>
        <v>6.6956812855708072E-4</v>
      </c>
    </row>
    <row r="160" spans="1:16" x14ac:dyDescent="0.25">
      <c r="A160" s="1186" t="s">
        <v>160</v>
      </c>
      <c r="B160" s="1178">
        <v>4</v>
      </c>
      <c r="C160" s="1178">
        <v>1</v>
      </c>
      <c r="D160" s="1178">
        <v>1</v>
      </c>
      <c r="E160" s="1179">
        <v>0</v>
      </c>
      <c r="F160" s="1178">
        <v>1</v>
      </c>
      <c r="G160" s="1179">
        <v>3</v>
      </c>
      <c r="H160" s="1180">
        <v>1</v>
      </c>
      <c r="I160" s="1180">
        <v>0</v>
      </c>
      <c r="J160" s="1180">
        <v>0</v>
      </c>
      <c r="K160" s="1180">
        <v>0</v>
      </c>
      <c r="L160" s="1180">
        <v>0</v>
      </c>
      <c r="M160" s="1180">
        <v>0</v>
      </c>
      <c r="N160" s="1180">
        <v>1</v>
      </c>
      <c r="O160" s="488">
        <f t="shared" si="41"/>
        <v>0.2</v>
      </c>
      <c r="P160" s="1182">
        <f>+O160/$O$452</f>
        <v>3.3478406427854036E-4</v>
      </c>
    </row>
    <row r="161" spans="1:16" x14ac:dyDescent="0.25">
      <c r="A161" s="1187" t="s">
        <v>1419</v>
      </c>
      <c r="B161" s="1178"/>
      <c r="C161" s="1178"/>
      <c r="D161" s="1178"/>
      <c r="E161" s="1179">
        <v>0</v>
      </c>
      <c r="F161" s="1178">
        <v>0</v>
      </c>
      <c r="G161" s="1179">
        <v>0</v>
      </c>
      <c r="H161" s="1180">
        <v>0</v>
      </c>
      <c r="I161" s="1180">
        <v>0</v>
      </c>
      <c r="J161" s="1180">
        <v>0</v>
      </c>
      <c r="K161" s="1180">
        <v>0</v>
      </c>
      <c r="L161" s="1180">
        <v>1</v>
      </c>
      <c r="M161" s="1180">
        <v>0</v>
      </c>
      <c r="N161" s="1180">
        <v>0</v>
      </c>
      <c r="O161" s="488">
        <f t="shared" si="41"/>
        <v>0.2</v>
      </c>
      <c r="P161" s="1182">
        <f>+O161/$O$452</f>
        <v>3.3478406427854036E-4</v>
      </c>
    </row>
    <row r="162" spans="1:16" x14ac:dyDescent="0.25">
      <c r="A162" s="495" t="s">
        <v>35</v>
      </c>
      <c r="B162" s="471">
        <f>SUM(B157:B160)</f>
        <v>6</v>
      </c>
      <c r="C162" s="471">
        <f>SUM(C157:C160)</f>
        <v>7</v>
      </c>
      <c r="D162" s="471">
        <f>SUM(D157:D160)</f>
        <v>3</v>
      </c>
      <c r="E162" s="663">
        <f t="shared" ref="E162:M162" si="42">SUM(E157:E161)</f>
        <v>3</v>
      </c>
      <c r="F162" s="471">
        <f t="shared" si="42"/>
        <v>7</v>
      </c>
      <c r="G162" s="663">
        <f t="shared" si="42"/>
        <v>6</v>
      </c>
      <c r="H162" s="488">
        <f t="shared" si="42"/>
        <v>2</v>
      </c>
      <c r="I162" s="488">
        <f t="shared" si="42"/>
        <v>2</v>
      </c>
      <c r="J162" s="488">
        <f t="shared" si="42"/>
        <v>0</v>
      </c>
      <c r="K162" s="488">
        <f t="shared" si="42"/>
        <v>1</v>
      </c>
      <c r="L162" s="488">
        <f t="shared" si="42"/>
        <v>4</v>
      </c>
      <c r="M162" s="488">
        <f t="shared" si="42"/>
        <v>2</v>
      </c>
      <c r="N162" s="488">
        <f t="shared" ref="N162" si="43">SUM(N157:N161)</f>
        <v>1</v>
      </c>
      <c r="O162" s="488">
        <f t="shared" si="41"/>
        <v>1.6</v>
      </c>
      <c r="P162" s="494">
        <f>SUM(P157:P161)</f>
        <v>2.6782725142283229E-3</v>
      </c>
    </row>
    <row r="163" spans="1:16" x14ac:dyDescent="0.25">
      <c r="A163" s="492" t="s">
        <v>161</v>
      </c>
      <c r="B163" s="470" t="s">
        <v>853</v>
      </c>
      <c r="C163" s="470" t="s">
        <v>585</v>
      </c>
      <c r="D163" s="470" t="s">
        <v>1307</v>
      </c>
      <c r="E163" s="662" t="s">
        <v>560</v>
      </c>
      <c r="F163" s="470" t="s">
        <v>866</v>
      </c>
      <c r="G163" s="662" t="s">
        <v>620</v>
      </c>
      <c r="H163" s="489" t="s">
        <v>720</v>
      </c>
      <c r="I163" s="487" t="s">
        <v>915</v>
      </c>
      <c r="J163" s="487" t="s">
        <v>1364</v>
      </c>
      <c r="K163" s="487" t="s">
        <v>1385</v>
      </c>
      <c r="L163" s="487" t="s">
        <v>1386</v>
      </c>
      <c r="M163" s="1429" t="s">
        <v>1387</v>
      </c>
      <c r="N163" s="1429" t="s">
        <v>1535</v>
      </c>
      <c r="O163" s="489" t="s">
        <v>30</v>
      </c>
      <c r="P163" s="489" t="s">
        <v>31</v>
      </c>
    </row>
    <row r="164" spans="1:16" x14ac:dyDescent="0.25">
      <c r="A164" s="469" t="s">
        <v>1577</v>
      </c>
      <c r="B164" s="1489"/>
      <c r="C164" s="1489"/>
      <c r="D164" s="1489"/>
      <c r="E164" s="1490"/>
      <c r="F164" s="1489"/>
      <c r="G164" s="1490"/>
      <c r="H164" s="1491"/>
      <c r="I164" s="1492"/>
      <c r="J164" s="1180">
        <v>0</v>
      </c>
      <c r="K164" s="1180">
        <v>0</v>
      </c>
      <c r="L164" s="1180">
        <v>0</v>
      </c>
      <c r="M164" s="1180">
        <v>0</v>
      </c>
      <c r="N164" s="1180">
        <v>2</v>
      </c>
      <c r="O164" s="488">
        <f t="shared" ref="O164" si="44">AVERAGE(J164:N164)</f>
        <v>0.4</v>
      </c>
      <c r="P164" s="1182">
        <f t="shared" ref="P164:P171" si="45">+O164/$O$452</f>
        <v>6.6956812855708072E-4</v>
      </c>
    </row>
    <row r="165" spans="1:16" x14ac:dyDescent="0.25">
      <c r="A165" s="469" t="s">
        <v>1420</v>
      </c>
      <c r="B165" s="1178">
        <v>0</v>
      </c>
      <c r="C165" s="1178">
        <v>0</v>
      </c>
      <c r="D165" s="1178">
        <v>0</v>
      </c>
      <c r="E165" s="1179">
        <v>0</v>
      </c>
      <c r="F165" s="1178">
        <v>0</v>
      </c>
      <c r="G165" s="1179">
        <v>0</v>
      </c>
      <c r="H165" s="1180">
        <v>0</v>
      </c>
      <c r="I165" s="1180">
        <v>0</v>
      </c>
      <c r="J165" s="1180">
        <v>0</v>
      </c>
      <c r="K165" s="1180">
        <v>0</v>
      </c>
      <c r="L165" s="1180">
        <v>0</v>
      </c>
      <c r="M165" s="1180">
        <v>3</v>
      </c>
      <c r="N165" s="1180">
        <v>0</v>
      </c>
      <c r="O165" s="488">
        <f t="shared" ref="O165:O172" si="46">AVERAGE(J165:N165)</f>
        <v>0.6</v>
      </c>
      <c r="P165" s="1182">
        <f t="shared" si="45"/>
        <v>1.004352192835621E-3</v>
      </c>
    </row>
    <row r="166" spans="1:16" x14ac:dyDescent="0.25">
      <c r="A166" s="1186" t="s">
        <v>162</v>
      </c>
      <c r="B166" s="1178">
        <v>0</v>
      </c>
      <c r="C166" s="1178">
        <v>0</v>
      </c>
      <c r="D166" s="1178">
        <v>0</v>
      </c>
      <c r="E166" s="1179">
        <v>0</v>
      </c>
      <c r="F166" s="1178">
        <v>0</v>
      </c>
      <c r="G166" s="1179">
        <v>0</v>
      </c>
      <c r="H166" s="1180">
        <v>0</v>
      </c>
      <c r="I166" s="1180">
        <v>0</v>
      </c>
      <c r="J166" s="1180">
        <v>0</v>
      </c>
      <c r="K166" s="1180">
        <v>0</v>
      </c>
      <c r="L166" s="1180">
        <v>0</v>
      </c>
      <c r="M166" s="1180">
        <v>0</v>
      </c>
      <c r="N166" s="1180">
        <v>0</v>
      </c>
      <c r="O166" s="488">
        <f t="shared" si="46"/>
        <v>0</v>
      </c>
      <c r="P166" s="1182">
        <f t="shared" si="45"/>
        <v>0</v>
      </c>
    </row>
    <row r="167" spans="1:16" x14ac:dyDescent="0.25">
      <c r="A167" s="1186" t="s">
        <v>163</v>
      </c>
      <c r="B167" s="1178">
        <v>1</v>
      </c>
      <c r="C167" s="1178">
        <v>0</v>
      </c>
      <c r="D167" s="1178">
        <v>0</v>
      </c>
      <c r="E167" s="1179">
        <v>0</v>
      </c>
      <c r="F167" s="1178">
        <v>2</v>
      </c>
      <c r="G167" s="1179">
        <v>1</v>
      </c>
      <c r="H167" s="1180">
        <v>1</v>
      </c>
      <c r="I167" s="1180">
        <v>0</v>
      </c>
      <c r="J167" s="1180">
        <v>3</v>
      </c>
      <c r="K167" s="1180">
        <v>0</v>
      </c>
      <c r="L167" s="1180">
        <v>0</v>
      </c>
      <c r="M167" s="1180">
        <v>0</v>
      </c>
      <c r="N167" s="1180">
        <v>0</v>
      </c>
      <c r="O167" s="488">
        <f t="shared" si="46"/>
        <v>0.6</v>
      </c>
      <c r="P167" s="1182">
        <f t="shared" si="45"/>
        <v>1.004352192835621E-3</v>
      </c>
    </row>
    <row r="168" spans="1:16" x14ac:dyDescent="0.25">
      <c r="A168" s="1188" t="s">
        <v>171</v>
      </c>
      <c r="B168" s="1193">
        <v>0</v>
      </c>
      <c r="C168" s="1193">
        <v>0</v>
      </c>
      <c r="D168" s="1193">
        <v>0</v>
      </c>
      <c r="E168" s="1194">
        <v>0</v>
      </c>
      <c r="F168" s="1193">
        <v>0</v>
      </c>
      <c r="G168" s="1194">
        <v>0</v>
      </c>
      <c r="H168" s="1195">
        <v>0</v>
      </c>
      <c r="I168" s="1195">
        <v>0</v>
      </c>
      <c r="J168" s="1195">
        <v>0</v>
      </c>
      <c r="K168" s="1195">
        <v>0</v>
      </c>
      <c r="L168" s="1195">
        <v>0</v>
      </c>
      <c r="M168" s="1195">
        <v>0</v>
      </c>
      <c r="N168" s="1195">
        <v>0</v>
      </c>
      <c r="O168" s="488">
        <f t="shared" si="46"/>
        <v>0</v>
      </c>
      <c r="P168" s="1182">
        <f t="shared" si="45"/>
        <v>0</v>
      </c>
    </row>
    <row r="169" spans="1:16" x14ac:dyDescent="0.25">
      <c r="A169" s="1186" t="s">
        <v>172</v>
      </c>
      <c r="B169" s="1178">
        <v>0</v>
      </c>
      <c r="C169" s="1178">
        <v>0</v>
      </c>
      <c r="D169" s="1178">
        <v>1</v>
      </c>
      <c r="E169" s="1179">
        <v>0</v>
      </c>
      <c r="F169" s="1178">
        <v>0</v>
      </c>
      <c r="G169" s="1179">
        <v>0</v>
      </c>
      <c r="H169" s="1180">
        <v>0</v>
      </c>
      <c r="I169" s="1180">
        <v>0</v>
      </c>
      <c r="J169" s="1180">
        <v>0</v>
      </c>
      <c r="K169" s="1180">
        <v>0</v>
      </c>
      <c r="L169" s="1180">
        <v>0</v>
      </c>
      <c r="M169" s="1180">
        <v>0</v>
      </c>
      <c r="N169" s="1180">
        <v>0</v>
      </c>
      <c r="O169" s="488">
        <f t="shared" si="46"/>
        <v>0</v>
      </c>
      <c r="P169" s="1182">
        <f t="shared" si="45"/>
        <v>0</v>
      </c>
    </row>
    <row r="170" spans="1:16" x14ac:dyDescent="0.25">
      <c r="A170" s="1186" t="s">
        <v>173</v>
      </c>
      <c r="B170" s="1178">
        <v>5</v>
      </c>
      <c r="C170" s="1178">
        <v>4</v>
      </c>
      <c r="D170" s="1178">
        <v>1</v>
      </c>
      <c r="E170" s="1179">
        <v>5</v>
      </c>
      <c r="F170" s="1178">
        <v>5</v>
      </c>
      <c r="G170" s="1179">
        <v>3</v>
      </c>
      <c r="H170" s="1180">
        <v>3</v>
      </c>
      <c r="I170" s="1180">
        <v>2</v>
      </c>
      <c r="J170" s="1180">
        <v>0</v>
      </c>
      <c r="K170" s="1180">
        <v>3</v>
      </c>
      <c r="L170" s="1180">
        <v>2</v>
      </c>
      <c r="M170" s="1181">
        <v>4</v>
      </c>
      <c r="N170" s="1181">
        <v>3</v>
      </c>
      <c r="O170" s="488">
        <f t="shared" si="46"/>
        <v>2.4</v>
      </c>
      <c r="P170" s="1182">
        <f t="shared" si="45"/>
        <v>4.0174087713424839E-3</v>
      </c>
    </row>
    <row r="171" spans="1:16" x14ac:dyDescent="0.25">
      <c r="A171" s="1187" t="s">
        <v>1421</v>
      </c>
      <c r="B171" s="1178">
        <v>5</v>
      </c>
      <c r="C171" s="1178">
        <v>4</v>
      </c>
      <c r="D171" s="1178">
        <v>1</v>
      </c>
      <c r="E171" s="1179">
        <v>0</v>
      </c>
      <c r="F171" s="1178">
        <v>0</v>
      </c>
      <c r="G171" s="1179">
        <v>0</v>
      </c>
      <c r="H171" s="1180">
        <v>0</v>
      </c>
      <c r="I171" s="1180">
        <v>0</v>
      </c>
      <c r="J171" s="1180">
        <v>0</v>
      </c>
      <c r="K171" s="1180">
        <v>0</v>
      </c>
      <c r="L171" s="1180">
        <v>0</v>
      </c>
      <c r="M171" s="1181">
        <v>1</v>
      </c>
      <c r="N171" s="1181">
        <v>0</v>
      </c>
      <c r="O171" s="488">
        <f t="shared" si="46"/>
        <v>0.2</v>
      </c>
      <c r="P171" s="1182">
        <f t="shared" si="45"/>
        <v>3.3478406427854036E-4</v>
      </c>
    </row>
    <row r="172" spans="1:16" x14ac:dyDescent="0.25">
      <c r="A172" s="495" t="s">
        <v>35</v>
      </c>
      <c r="B172" s="471">
        <f t="shared" ref="B172:J172" si="47">SUM(B165:B171)</f>
        <v>11</v>
      </c>
      <c r="C172" s="471">
        <f t="shared" si="47"/>
        <v>8</v>
      </c>
      <c r="D172" s="471">
        <f t="shared" si="47"/>
        <v>3</v>
      </c>
      <c r="E172" s="663">
        <f t="shared" si="47"/>
        <v>5</v>
      </c>
      <c r="F172" s="471">
        <f t="shared" si="47"/>
        <v>7</v>
      </c>
      <c r="G172" s="663">
        <f t="shared" si="47"/>
        <v>4</v>
      </c>
      <c r="H172" s="488">
        <f t="shared" si="47"/>
        <v>4</v>
      </c>
      <c r="I172" s="488">
        <f t="shared" si="47"/>
        <v>2</v>
      </c>
      <c r="J172" s="488">
        <f t="shared" si="47"/>
        <v>3</v>
      </c>
      <c r="K172" s="488">
        <f>SUM(K165:K171)</f>
        <v>3</v>
      </c>
      <c r="L172" s="488">
        <f>SUM(L165:L171)</f>
        <v>2</v>
      </c>
      <c r="M172" s="488">
        <f>SUM(M165:M171)</f>
        <v>8</v>
      </c>
      <c r="N172" s="488">
        <f>SUM(N165:N171)</f>
        <v>3</v>
      </c>
      <c r="O172" s="488">
        <f t="shared" si="46"/>
        <v>3.8</v>
      </c>
      <c r="P172" s="494">
        <f>SUM(P165:P171)</f>
        <v>6.3608972212922665E-3</v>
      </c>
    </row>
    <row r="173" spans="1:16" x14ac:dyDescent="0.25">
      <c r="A173" s="492" t="s">
        <v>174</v>
      </c>
      <c r="B173" s="470" t="s">
        <v>853</v>
      </c>
      <c r="C173" s="470" t="s">
        <v>585</v>
      </c>
      <c r="D173" s="470" t="s">
        <v>1307</v>
      </c>
      <c r="E173" s="662" t="s">
        <v>560</v>
      </c>
      <c r="F173" s="470" t="s">
        <v>866</v>
      </c>
      <c r="G173" s="662" t="s">
        <v>620</v>
      </c>
      <c r="H173" s="489" t="s">
        <v>720</v>
      </c>
      <c r="I173" s="487" t="s">
        <v>915</v>
      </c>
      <c r="J173" s="487" t="s">
        <v>1364</v>
      </c>
      <c r="K173" s="487" t="s">
        <v>1385</v>
      </c>
      <c r="L173" s="487" t="s">
        <v>1386</v>
      </c>
      <c r="M173" s="1429" t="s">
        <v>1387</v>
      </c>
      <c r="N173" s="1429" t="s">
        <v>1535</v>
      </c>
      <c r="O173" s="489" t="s">
        <v>30</v>
      </c>
      <c r="P173" s="489" t="s">
        <v>31</v>
      </c>
    </row>
    <row r="174" spans="1:16" x14ac:dyDescent="0.25">
      <c r="A174" s="1186" t="s">
        <v>175</v>
      </c>
      <c r="B174" s="1178">
        <v>1</v>
      </c>
      <c r="C174" s="1178">
        <v>1</v>
      </c>
      <c r="D174" s="1178">
        <v>1</v>
      </c>
      <c r="E174" s="1179">
        <v>1</v>
      </c>
      <c r="F174" s="1178">
        <v>0</v>
      </c>
      <c r="G174" s="1179">
        <v>3</v>
      </c>
      <c r="H174" s="1180">
        <v>0</v>
      </c>
      <c r="I174" s="1180">
        <v>0</v>
      </c>
      <c r="J174" s="1180">
        <v>0</v>
      </c>
      <c r="K174" s="1180">
        <v>0</v>
      </c>
      <c r="L174" s="1180">
        <v>0</v>
      </c>
      <c r="M174" s="1180">
        <v>0</v>
      </c>
      <c r="N174" s="1180">
        <v>1</v>
      </c>
      <c r="O174" s="488">
        <f t="shared" ref="O174:O176" si="48">AVERAGE(J174:N174)</f>
        <v>0.2</v>
      </c>
      <c r="P174" s="1182">
        <f>+O174/$O$452</f>
        <v>3.3478406427854036E-4</v>
      </c>
    </row>
    <row r="175" spans="1:16" x14ac:dyDescent="0.25">
      <c r="A175" s="1186" t="s">
        <v>176</v>
      </c>
      <c r="B175" s="1178">
        <v>6</v>
      </c>
      <c r="C175" s="1178">
        <v>3</v>
      </c>
      <c r="D175" s="1178">
        <v>2</v>
      </c>
      <c r="E175" s="1179">
        <v>1</v>
      </c>
      <c r="F175" s="1178">
        <v>3</v>
      </c>
      <c r="G175" s="1179">
        <v>4</v>
      </c>
      <c r="H175" s="1180">
        <v>2</v>
      </c>
      <c r="I175" s="1180">
        <v>3</v>
      </c>
      <c r="J175" s="1180">
        <v>8</v>
      </c>
      <c r="K175" s="1180">
        <v>10</v>
      </c>
      <c r="L175" s="1180">
        <v>2</v>
      </c>
      <c r="M175" s="1181">
        <v>4</v>
      </c>
      <c r="N175" s="1181">
        <v>1</v>
      </c>
      <c r="O175" s="488">
        <f t="shared" si="48"/>
        <v>5</v>
      </c>
      <c r="P175" s="1182">
        <f>+O175/$O$452</f>
        <v>8.3696016069635081E-3</v>
      </c>
    </row>
    <row r="176" spans="1:16" x14ac:dyDescent="0.25">
      <c r="A176" s="495" t="s">
        <v>35</v>
      </c>
      <c r="B176" s="471">
        <f t="shared" ref="B176:J176" si="49">SUM(B174:B175)</f>
        <v>7</v>
      </c>
      <c r="C176" s="471">
        <f t="shared" si="49"/>
        <v>4</v>
      </c>
      <c r="D176" s="471">
        <f t="shared" si="49"/>
        <v>3</v>
      </c>
      <c r="E176" s="663">
        <f t="shared" si="49"/>
        <v>2</v>
      </c>
      <c r="F176" s="471">
        <f t="shared" si="49"/>
        <v>3</v>
      </c>
      <c r="G176" s="663">
        <f t="shared" si="49"/>
        <v>7</v>
      </c>
      <c r="H176" s="488">
        <f t="shared" si="49"/>
        <v>2</v>
      </c>
      <c r="I176" s="488">
        <f t="shared" si="49"/>
        <v>3</v>
      </c>
      <c r="J176" s="488">
        <f t="shared" si="49"/>
        <v>8</v>
      </c>
      <c r="K176" s="488">
        <f>SUM(K174:K175)</f>
        <v>10</v>
      </c>
      <c r="L176" s="488">
        <f>SUM(L174:L175)</f>
        <v>2</v>
      </c>
      <c r="M176" s="488">
        <f>SUM(M174:M175)</f>
        <v>4</v>
      </c>
      <c r="N176" s="488">
        <f>SUM(N174:N175)</f>
        <v>2</v>
      </c>
      <c r="O176" s="488">
        <f t="shared" si="48"/>
        <v>5.2</v>
      </c>
      <c r="P176" s="494">
        <f>SUM(P174:P175)</f>
        <v>8.7043856712420483E-3</v>
      </c>
    </row>
    <row r="177" spans="1:16" x14ac:dyDescent="0.25">
      <c r="A177" s="492" t="s">
        <v>177</v>
      </c>
      <c r="B177" s="470" t="s">
        <v>853</v>
      </c>
      <c r="C177" s="470" t="s">
        <v>585</v>
      </c>
      <c r="D177" s="470" t="s">
        <v>1307</v>
      </c>
      <c r="E177" s="662" t="s">
        <v>560</v>
      </c>
      <c r="F177" s="470" t="s">
        <v>866</v>
      </c>
      <c r="G177" s="662" t="s">
        <v>620</v>
      </c>
      <c r="H177" s="489" t="s">
        <v>720</v>
      </c>
      <c r="I177" s="487" t="s">
        <v>915</v>
      </c>
      <c r="J177" s="487" t="s">
        <v>1364</v>
      </c>
      <c r="K177" s="487" t="s">
        <v>1385</v>
      </c>
      <c r="L177" s="487" t="s">
        <v>1386</v>
      </c>
      <c r="M177" s="1429" t="s">
        <v>1387</v>
      </c>
      <c r="N177" s="1429" t="s">
        <v>1535</v>
      </c>
      <c r="O177" s="489" t="s">
        <v>30</v>
      </c>
      <c r="P177" s="489" t="s">
        <v>31</v>
      </c>
    </row>
    <row r="178" spans="1:16" x14ac:dyDescent="0.25">
      <c r="A178" s="1186" t="s">
        <v>178</v>
      </c>
      <c r="B178" s="1178">
        <v>0</v>
      </c>
      <c r="C178" s="1178">
        <v>1</v>
      </c>
      <c r="D178" s="1178">
        <v>4</v>
      </c>
      <c r="E178" s="1179">
        <v>6</v>
      </c>
      <c r="F178" s="1178">
        <v>3</v>
      </c>
      <c r="G178" s="1179">
        <v>0</v>
      </c>
      <c r="H178" s="1180">
        <v>3</v>
      </c>
      <c r="I178" s="1180">
        <v>4</v>
      </c>
      <c r="J178" s="1180">
        <v>1</v>
      </c>
      <c r="K178" s="1180">
        <v>2</v>
      </c>
      <c r="L178" s="1180">
        <v>9</v>
      </c>
      <c r="M178" s="1181">
        <v>5</v>
      </c>
      <c r="N178" s="1181">
        <v>4</v>
      </c>
      <c r="O178" s="488">
        <f t="shared" ref="O178:O180" si="50">AVERAGE(J178:N178)</f>
        <v>4.2</v>
      </c>
      <c r="P178" s="1182">
        <f>+O178/$O$452</f>
        <v>7.0304653498493479E-3</v>
      </c>
    </row>
    <row r="179" spans="1:16" x14ac:dyDescent="0.25">
      <c r="A179" s="1186" t="s">
        <v>179</v>
      </c>
      <c r="B179" s="1178">
        <v>0</v>
      </c>
      <c r="C179" s="1178">
        <v>0</v>
      </c>
      <c r="D179" s="1178">
        <v>1</v>
      </c>
      <c r="E179" s="1179">
        <v>0</v>
      </c>
      <c r="F179" s="1178">
        <v>0</v>
      </c>
      <c r="G179" s="1179">
        <v>0</v>
      </c>
      <c r="H179" s="1180">
        <v>0</v>
      </c>
      <c r="I179" s="1180">
        <v>0</v>
      </c>
      <c r="J179" s="1180">
        <v>0</v>
      </c>
      <c r="K179" s="1180">
        <v>0</v>
      </c>
      <c r="L179" s="1180">
        <v>0</v>
      </c>
      <c r="M179" s="1180">
        <v>0</v>
      </c>
      <c r="N179" s="1180">
        <v>3</v>
      </c>
      <c r="O179" s="488">
        <f t="shared" si="50"/>
        <v>0.6</v>
      </c>
      <c r="P179" s="1182">
        <f>+O179/$O$452</f>
        <v>1.004352192835621E-3</v>
      </c>
    </row>
    <row r="180" spans="1:16" s="1183" customFormat="1" x14ac:dyDescent="0.25">
      <c r="A180" s="493" t="s">
        <v>35</v>
      </c>
      <c r="B180" s="471">
        <f t="shared" ref="B180:J180" si="51">SUM(B178:B179)</f>
        <v>0</v>
      </c>
      <c r="C180" s="471">
        <f t="shared" si="51"/>
        <v>1</v>
      </c>
      <c r="D180" s="471">
        <f t="shared" si="51"/>
        <v>5</v>
      </c>
      <c r="E180" s="663">
        <f t="shared" si="51"/>
        <v>6</v>
      </c>
      <c r="F180" s="471">
        <f t="shared" si="51"/>
        <v>3</v>
      </c>
      <c r="G180" s="663">
        <f t="shared" si="51"/>
        <v>0</v>
      </c>
      <c r="H180" s="488">
        <f t="shared" si="51"/>
        <v>3</v>
      </c>
      <c r="I180" s="488">
        <f t="shared" si="51"/>
        <v>4</v>
      </c>
      <c r="J180" s="488">
        <f t="shared" si="51"/>
        <v>1</v>
      </c>
      <c r="K180" s="488">
        <f>SUM(K178:K179)</f>
        <v>2</v>
      </c>
      <c r="L180" s="488">
        <f>SUM(L178:L179)</f>
        <v>9</v>
      </c>
      <c r="M180" s="488">
        <f>SUM(M178:M179)</f>
        <v>5</v>
      </c>
      <c r="N180" s="488">
        <f>SUM(N178:N179)</f>
        <v>7</v>
      </c>
      <c r="O180" s="488">
        <f t="shared" si="50"/>
        <v>4.8</v>
      </c>
      <c r="P180" s="494">
        <f>SUM(P178:P179)</f>
        <v>8.0348175426849695E-3</v>
      </c>
    </row>
    <row r="181" spans="1:16" x14ac:dyDescent="0.25">
      <c r="A181" s="492" t="s">
        <v>180</v>
      </c>
      <c r="B181" s="470" t="s">
        <v>853</v>
      </c>
      <c r="C181" s="470" t="s">
        <v>585</v>
      </c>
      <c r="D181" s="470" t="s">
        <v>1307</v>
      </c>
      <c r="E181" s="662" t="s">
        <v>560</v>
      </c>
      <c r="F181" s="470" t="s">
        <v>866</v>
      </c>
      <c r="G181" s="662" t="s">
        <v>620</v>
      </c>
      <c r="H181" s="489" t="s">
        <v>720</v>
      </c>
      <c r="I181" s="487" t="s">
        <v>915</v>
      </c>
      <c r="J181" s="487" t="s">
        <v>1364</v>
      </c>
      <c r="K181" s="487" t="s">
        <v>1385</v>
      </c>
      <c r="L181" s="487" t="s">
        <v>1386</v>
      </c>
      <c r="M181" s="1429" t="s">
        <v>1387</v>
      </c>
      <c r="N181" s="1429" t="s">
        <v>1535</v>
      </c>
      <c r="O181" s="489" t="s">
        <v>30</v>
      </c>
      <c r="P181" s="489" t="s">
        <v>31</v>
      </c>
    </row>
    <row r="182" spans="1:16" x14ac:dyDescent="0.25">
      <c r="A182" s="1186" t="s">
        <v>181</v>
      </c>
      <c r="B182" s="1178">
        <v>0</v>
      </c>
      <c r="C182" s="1178">
        <v>0</v>
      </c>
      <c r="D182" s="1178">
        <v>0</v>
      </c>
      <c r="E182" s="1179">
        <v>0</v>
      </c>
      <c r="F182" s="1178">
        <v>0</v>
      </c>
      <c r="G182" s="1179">
        <v>0</v>
      </c>
      <c r="H182" s="1180">
        <v>1</v>
      </c>
      <c r="I182" s="1180">
        <v>0</v>
      </c>
      <c r="J182" s="1180">
        <v>2</v>
      </c>
      <c r="K182" s="1180">
        <v>0</v>
      </c>
      <c r="L182" s="1180">
        <v>0</v>
      </c>
      <c r="M182" s="1180">
        <v>0</v>
      </c>
      <c r="N182" s="1180">
        <v>1</v>
      </c>
      <c r="O182" s="488">
        <f t="shared" ref="O182:O193" si="52">AVERAGE(J182:N182)</f>
        <v>0.6</v>
      </c>
      <c r="P182" s="1182">
        <f t="shared" ref="P182:P192" si="53">+O182/$O$452</f>
        <v>1.004352192835621E-3</v>
      </c>
    </row>
    <row r="183" spans="1:16" x14ac:dyDescent="0.25">
      <c r="A183" s="1186" t="s">
        <v>182</v>
      </c>
      <c r="B183" s="1178">
        <v>0</v>
      </c>
      <c r="C183" s="1178">
        <v>0</v>
      </c>
      <c r="D183" s="1178">
        <v>0</v>
      </c>
      <c r="E183" s="1179">
        <v>0</v>
      </c>
      <c r="F183" s="1178">
        <v>0</v>
      </c>
      <c r="G183" s="1179">
        <v>0</v>
      </c>
      <c r="H183" s="1180">
        <v>0</v>
      </c>
      <c r="I183" s="1180">
        <v>0</v>
      </c>
      <c r="J183" s="1180">
        <v>0</v>
      </c>
      <c r="K183" s="1180">
        <v>0</v>
      </c>
      <c r="L183" s="1180">
        <v>0</v>
      </c>
      <c r="M183" s="1181">
        <v>1</v>
      </c>
      <c r="N183" s="1181">
        <v>0</v>
      </c>
      <c r="O183" s="488">
        <f t="shared" si="52"/>
        <v>0.2</v>
      </c>
      <c r="P183" s="1182">
        <f t="shared" si="53"/>
        <v>3.3478406427854036E-4</v>
      </c>
    </row>
    <row r="184" spans="1:16" x14ac:dyDescent="0.25">
      <c r="A184" s="1186" t="s">
        <v>183</v>
      </c>
      <c r="B184" s="1178">
        <v>0</v>
      </c>
      <c r="C184" s="1178">
        <v>0</v>
      </c>
      <c r="D184" s="1178">
        <v>0</v>
      </c>
      <c r="E184" s="1179">
        <v>0</v>
      </c>
      <c r="F184" s="1178">
        <v>0</v>
      </c>
      <c r="G184" s="1179">
        <v>0</v>
      </c>
      <c r="H184" s="1180">
        <v>0</v>
      </c>
      <c r="I184" s="1180">
        <v>0</v>
      </c>
      <c r="J184" s="1180">
        <v>0</v>
      </c>
      <c r="K184" s="1180">
        <v>1</v>
      </c>
      <c r="L184" s="1180">
        <v>0</v>
      </c>
      <c r="M184" s="1181">
        <v>0</v>
      </c>
      <c r="N184" s="1181">
        <v>0</v>
      </c>
      <c r="O184" s="488">
        <f t="shared" si="52"/>
        <v>0.2</v>
      </c>
      <c r="P184" s="1182">
        <f t="shared" si="53"/>
        <v>3.3478406427854036E-4</v>
      </c>
    </row>
    <row r="185" spans="1:16" x14ac:dyDescent="0.25">
      <c r="A185" s="1186" t="s">
        <v>184</v>
      </c>
      <c r="B185" s="1178">
        <v>0</v>
      </c>
      <c r="C185" s="1178">
        <v>1</v>
      </c>
      <c r="D185" s="1178">
        <v>2</v>
      </c>
      <c r="E185" s="1179">
        <v>0</v>
      </c>
      <c r="F185" s="1178">
        <v>0</v>
      </c>
      <c r="G185" s="1179">
        <v>0</v>
      </c>
      <c r="H185" s="1180">
        <v>0</v>
      </c>
      <c r="I185" s="1180">
        <v>0</v>
      </c>
      <c r="J185" s="1180">
        <v>9</v>
      </c>
      <c r="K185" s="1180">
        <v>0</v>
      </c>
      <c r="L185" s="1180">
        <v>0</v>
      </c>
      <c r="M185" s="1181">
        <v>0</v>
      </c>
      <c r="N185" s="1181">
        <v>0</v>
      </c>
      <c r="O185" s="488">
        <f t="shared" si="52"/>
        <v>1.8</v>
      </c>
      <c r="P185" s="1182">
        <f t="shared" si="53"/>
        <v>3.0130565785068631E-3</v>
      </c>
    </row>
    <row r="186" spans="1:16" x14ac:dyDescent="0.25">
      <c r="A186" s="1186" t="s">
        <v>187</v>
      </c>
      <c r="B186" s="1178">
        <v>1</v>
      </c>
      <c r="C186" s="1178">
        <v>0</v>
      </c>
      <c r="D186" s="1178">
        <v>1</v>
      </c>
      <c r="E186" s="1179">
        <v>0</v>
      </c>
      <c r="F186" s="1178">
        <v>0</v>
      </c>
      <c r="G186" s="1179">
        <v>0</v>
      </c>
      <c r="H186" s="1180">
        <v>1</v>
      </c>
      <c r="I186" s="1180">
        <v>0</v>
      </c>
      <c r="J186" s="1180">
        <v>0</v>
      </c>
      <c r="K186" s="1180">
        <v>0</v>
      </c>
      <c r="L186" s="1180">
        <v>0</v>
      </c>
      <c r="M186" s="1181">
        <v>0</v>
      </c>
      <c r="N186" s="1181">
        <v>0</v>
      </c>
      <c r="O186" s="488">
        <f t="shared" si="52"/>
        <v>0</v>
      </c>
      <c r="P186" s="1182">
        <f t="shared" si="53"/>
        <v>0</v>
      </c>
    </row>
    <row r="187" spans="1:16" x14ac:dyDescent="0.25">
      <c r="A187" s="1186" t="s">
        <v>188</v>
      </c>
      <c r="B187" s="1178">
        <v>1</v>
      </c>
      <c r="C187" s="1178">
        <v>1</v>
      </c>
      <c r="D187" s="1178">
        <v>0</v>
      </c>
      <c r="E187" s="1179">
        <v>2</v>
      </c>
      <c r="F187" s="1178">
        <v>0</v>
      </c>
      <c r="G187" s="1179">
        <v>0</v>
      </c>
      <c r="H187" s="1180">
        <v>0</v>
      </c>
      <c r="I187" s="1180">
        <v>2</v>
      </c>
      <c r="J187" s="1180">
        <v>0</v>
      </c>
      <c r="K187" s="1180">
        <v>0</v>
      </c>
      <c r="L187" s="1180">
        <v>5</v>
      </c>
      <c r="M187" s="1181">
        <v>1</v>
      </c>
      <c r="N187" s="1181">
        <v>1</v>
      </c>
      <c r="O187" s="488">
        <f t="shared" si="52"/>
        <v>1.4</v>
      </c>
      <c r="P187" s="1182">
        <f t="shared" si="53"/>
        <v>2.3434884499497822E-3</v>
      </c>
    </row>
    <row r="188" spans="1:16" x14ac:dyDescent="0.25">
      <c r="A188" s="1186" t="s">
        <v>189</v>
      </c>
      <c r="B188" s="1178">
        <v>0</v>
      </c>
      <c r="C188" s="1178">
        <v>0</v>
      </c>
      <c r="D188" s="1178">
        <v>0</v>
      </c>
      <c r="E188" s="1179">
        <v>0</v>
      </c>
      <c r="F188" s="1178">
        <v>0</v>
      </c>
      <c r="G188" s="1179">
        <v>0</v>
      </c>
      <c r="H188" s="1180">
        <v>1</v>
      </c>
      <c r="I188" s="1180">
        <v>0</v>
      </c>
      <c r="J188" s="1180">
        <v>0</v>
      </c>
      <c r="K188" s="1180">
        <v>0</v>
      </c>
      <c r="L188" s="1180">
        <v>0</v>
      </c>
      <c r="M188" s="1181">
        <v>0</v>
      </c>
      <c r="N188" s="1181">
        <v>0</v>
      </c>
      <c r="O188" s="488">
        <f t="shared" si="52"/>
        <v>0</v>
      </c>
      <c r="P188" s="1182">
        <f t="shared" si="53"/>
        <v>0</v>
      </c>
    </row>
    <row r="189" spans="1:16" x14ac:dyDescent="0.25">
      <c r="A189" s="1186" t="s">
        <v>190</v>
      </c>
      <c r="B189" s="1178">
        <v>2</v>
      </c>
      <c r="C189" s="1178">
        <v>1</v>
      </c>
      <c r="D189" s="1178">
        <v>1</v>
      </c>
      <c r="E189" s="1179">
        <v>2</v>
      </c>
      <c r="F189" s="1178">
        <v>3</v>
      </c>
      <c r="G189" s="1179">
        <v>1</v>
      </c>
      <c r="H189" s="1180">
        <v>2</v>
      </c>
      <c r="I189" s="1180">
        <v>1</v>
      </c>
      <c r="J189" s="1180">
        <v>4</v>
      </c>
      <c r="K189" s="1180">
        <v>0</v>
      </c>
      <c r="L189" s="1180">
        <v>2</v>
      </c>
      <c r="M189" s="1181">
        <v>0</v>
      </c>
      <c r="N189" s="1181">
        <v>1</v>
      </c>
      <c r="O189" s="488">
        <f t="shared" si="52"/>
        <v>1.4</v>
      </c>
      <c r="P189" s="1182">
        <f t="shared" si="53"/>
        <v>2.3434884499497822E-3</v>
      </c>
    </row>
    <row r="190" spans="1:16" x14ac:dyDescent="0.25">
      <c r="A190" s="1186" t="s">
        <v>191</v>
      </c>
      <c r="B190" s="1178">
        <v>0</v>
      </c>
      <c r="C190" s="1178">
        <v>2</v>
      </c>
      <c r="D190" s="1178">
        <v>0</v>
      </c>
      <c r="E190" s="1179">
        <v>1</v>
      </c>
      <c r="F190" s="1178">
        <v>0</v>
      </c>
      <c r="G190" s="1179">
        <v>0</v>
      </c>
      <c r="H190" s="1180">
        <v>2</v>
      </c>
      <c r="I190" s="1180">
        <v>0</v>
      </c>
      <c r="J190" s="1180">
        <v>0</v>
      </c>
      <c r="K190" s="1180">
        <v>0</v>
      </c>
      <c r="L190" s="1180">
        <v>1</v>
      </c>
      <c r="M190" s="1181">
        <v>0</v>
      </c>
      <c r="N190" s="1181">
        <v>0</v>
      </c>
      <c r="O190" s="488">
        <f t="shared" si="52"/>
        <v>0.2</v>
      </c>
      <c r="P190" s="1182">
        <f t="shared" si="53"/>
        <v>3.3478406427854036E-4</v>
      </c>
    </row>
    <row r="191" spans="1:16" x14ac:dyDescent="0.25">
      <c r="A191" s="1186" t="s">
        <v>192</v>
      </c>
      <c r="B191" s="1178">
        <v>2</v>
      </c>
      <c r="C191" s="1178">
        <v>0</v>
      </c>
      <c r="D191" s="1178">
        <v>2</v>
      </c>
      <c r="E191" s="1179">
        <v>1</v>
      </c>
      <c r="F191" s="1178">
        <v>1</v>
      </c>
      <c r="G191" s="1179">
        <v>2</v>
      </c>
      <c r="H191" s="1180">
        <v>0</v>
      </c>
      <c r="I191" s="1180">
        <v>4</v>
      </c>
      <c r="J191" s="1180">
        <v>0</v>
      </c>
      <c r="K191" s="1180">
        <v>0</v>
      </c>
      <c r="L191" s="1180">
        <v>5</v>
      </c>
      <c r="M191" s="1181">
        <v>1</v>
      </c>
      <c r="N191" s="1181">
        <v>3</v>
      </c>
      <c r="O191" s="488">
        <f t="shared" si="52"/>
        <v>1.8</v>
      </c>
      <c r="P191" s="1182">
        <f t="shared" si="53"/>
        <v>3.0130565785068631E-3</v>
      </c>
    </row>
    <row r="192" spans="1:16" x14ac:dyDescent="0.25">
      <c r="A192" s="1186" t="s">
        <v>193</v>
      </c>
      <c r="B192" s="1178">
        <v>0</v>
      </c>
      <c r="C192" s="1178">
        <v>1</v>
      </c>
      <c r="D192" s="1178">
        <v>0</v>
      </c>
      <c r="E192" s="1179">
        <v>1</v>
      </c>
      <c r="F192" s="1178">
        <v>0</v>
      </c>
      <c r="G192" s="1179">
        <v>0</v>
      </c>
      <c r="H192" s="1180">
        <v>0</v>
      </c>
      <c r="I192" s="1180">
        <v>2</v>
      </c>
      <c r="J192" s="1180">
        <v>0</v>
      </c>
      <c r="K192" s="1180">
        <v>0</v>
      </c>
      <c r="L192" s="1180">
        <v>0</v>
      </c>
      <c r="M192" s="1181">
        <v>1</v>
      </c>
      <c r="N192" s="1181">
        <v>3</v>
      </c>
      <c r="O192" s="488">
        <f t="shared" si="52"/>
        <v>0.8</v>
      </c>
      <c r="P192" s="1182">
        <f t="shared" si="53"/>
        <v>1.3391362571141614E-3</v>
      </c>
    </row>
    <row r="193" spans="1:16" x14ac:dyDescent="0.25">
      <c r="A193" s="495" t="s">
        <v>35</v>
      </c>
      <c r="B193" s="471">
        <f t="shared" ref="B193:J193" si="54">SUM(B182:B192)</f>
        <v>6</v>
      </c>
      <c r="C193" s="471">
        <f t="shared" si="54"/>
        <v>6</v>
      </c>
      <c r="D193" s="471">
        <f t="shared" si="54"/>
        <v>6</v>
      </c>
      <c r="E193" s="663">
        <f t="shared" si="54"/>
        <v>7</v>
      </c>
      <c r="F193" s="471">
        <f t="shared" si="54"/>
        <v>4</v>
      </c>
      <c r="G193" s="663">
        <f t="shared" si="54"/>
        <v>3</v>
      </c>
      <c r="H193" s="488">
        <f t="shared" si="54"/>
        <v>7</v>
      </c>
      <c r="I193" s="488">
        <f t="shared" si="54"/>
        <v>9</v>
      </c>
      <c r="J193" s="488">
        <f t="shared" si="54"/>
        <v>15</v>
      </c>
      <c r="K193" s="488">
        <f>SUM(K182:K192)</f>
        <v>1</v>
      </c>
      <c r="L193" s="488">
        <f>SUM(L182:L192)</f>
        <v>13</v>
      </c>
      <c r="M193" s="488">
        <f>SUM(M182:M192)</f>
        <v>4</v>
      </c>
      <c r="N193" s="488">
        <f>SUM(N182:N192)</f>
        <v>9</v>
      </c>
      <c r="O193" s="488">
        <f t="shared" si="52"/>
        <v>8.4</v>
      </c>
      <c r="P193" s="494">
        <f>SUM(P182:P192)</f>
        <v>1.4060930699698694E-2</v>
      </c>
    </row>
    <row r="194" spans="1:16" x14ac:dyDescent="0.25">
      <c r="A194" s="492" t="s">
        <v>195</v>
      </c>
      <c r="B194" s="470" t="s">
        <v>853</v>
      </c>
      <c r="C194" s="470" t="s">
        <v>585</v>
      </c>
      <c r="D194" s="470" t="s">
        <v>1307</v>
      </c>
      <c r="E194" s="662" t="s">
        <v>560</v>
      </c>
      <c r="F194" s="470" t="s">
        <v>866</v>
      </c>
      <c r="G194" s="662" t="s">
        <v>620</v>
      </c>
      <c r="H194" s="489" t="s">
        <v>720</v>
      </c>
      <c r="I194" s="487" t="s">
        <v>915</v>
      </c>
      <c r="J194" s="487" t="s">
        <v>1364</v>
      </c>
      <c r="K194" s="487" t="s">
        <v>1385</v>
      </c>
      <c r="L194" s="487" t="s">
        <v>1386</v>
      </c>
      <c r="M194" s="1429" t="s">
        <v>1387</v>
      </c>
      <c r="N194" s="1429" t="s">
        <v>1535</v>
      </c>
      <c r="O194" s="489" t="s">
        <v>30</v>
      </c>
      <c r="P194" s="489" t="s">
        <v>31</v>
      </c>
    </row>
    <row r="195" spans="1:16" x14ac:dyDescent="0.25">
      <c r="A195" s="1186" t="s">
        <v>196</v>
      </c>
      <c r="B195" s="1178">
        <v>0</v>
      </c>
      <c r="C195" s="1178">
        <v>0</v>
      </c>
      <c r="D195" s="1178">
        <v>0</v>
      </c>
      <c r="E195" s="1179">
        <v>0</v>
      </c>
      <c r="F195" s="1178">
        <v>2</v>
      </c>
      <c r="G195" s="1179">
        <v>0</v>
      </c>
      <c r="H195" s="1180">
        <v>2</v>
      </c>
      <c r="I195" s="1180">
        <v>0</v>
      </c>
      <c r="J195" s="1180">
        <v>1</v>
      </c>
      <c r="K195" s="1180">
        <v>0</v>
      </c>
      <c r="L195" s="1180">
        <v>0</v>
      </c>
      <c r="M195" s="1180">
        <v>0</v>
      </c>
      <c r="N195" s="1180">
        <v>3</v>
      </c>
      <c r="O195" s="488">
        <f t="shared" ref="O195:O202" si="55">AVERAGE(J195:N195)</f>
        <v>0.8</v>
      </c>
      <c r="P195" s="1182">
        <f t="shared" ref="P195:P201" si="56">+O195/$O$452</f>
        <v>1.3391362571141614E-3</v>
      </c>
    </row>
    <row r="196" spans="1:16" x14ac:dyDescent="0.25">
      <c r="A196" s="1186" t="s">
        <v>197</v>
      </c>
      <c r="B196" s="1178">
        <v>0</v>
      </c>
      <c r="C196" s="1178">
        <v>0</v>
      </c>
      <c r="D196" s="1178">
        <v>0</v>
      </c>
      <c r="E196" s="1179">
        <v>0</v>
      </c>
      <c r="F196" s="1178">
        <v>0</v>
      </c>
      <c r="G196" s="1179">
        <v>0</v>
      </c>
      <c r="H196" s="1180">
        <v>0</v>
      </c>
      <c r="I196" s="1180">
        <v>0</v>
      </c>
      <c r="J196" s="1180">
        <v>0</v>
      </c>
      <c r="K196" s="1180">
        <v>0</v>
      </c>
      <c r="L196" s="1180">
        <v>0</v>
      </c>
      <c r="M196" s="1180">
        <v>0</v>
      </c>
      <c r="N196" s="1180">
        <v>0</v>
      </c>
      <c r="O196" s="488">
        <f t="shared" si="55"/>
        <v>0</v>
      </c>
      <c r="P196" s="1182">
        <f t="shared" si="56"/>
        <v>0</v>
      </c>
    </row>
    <row r="197" spans="1:16" x14ac:dyDescent="0.25">
      <c r="A197" s="1186" t="s">
        <v>198</v>
      </c>
      <c r="B197" s="1178">
        <v>1</v>
      </c>
      <c r="C197" s="1178">
        <v>3</v>
      </c>
      <c r="D197" s="1178">
        <v>3</v>
      </c>
      <c r="E197" s="1179">
        <v>1</v>
      </c>
      <c r="F197" s="1178">
        <v>3</v>
      </c>
      <c r="G197" s="1179">
        <v>0</v>
      </c>
      <c r="H197" s="1180">
        <v>2</v>
      </c>
      <c r="I197" s="1180">
        <v>0</v>
      </c>
      <c r="J197" s="1180">
        <v>2</v>
      </c>
      <c r="K197" s="1180">
        <v>2</v>
      </c>
      <c r="L197" s="1180">
        <v>0</v>
      </c>
      <c r="M197" s="1181">
        <v>1</v>
      </c>
      <c r="N197" s="1181">
        <v>0</v>
      </c>
      <c r="O197" s="488">
        <f t="shared" si="55"/>
        <v>1</v>
      </c>
      <c r="P197" s="1182">
        <f t="shared" si="56"/>
        <v>1.6739203213927017E-3</v>
      </c>
    </row>
    <row r="198" spans="1:16" x14ac:dyDescent="0.25">
      <c r="A198" s="1186" t="s">
        <v>199</v>
      </c>
      <c r="B198" s="1178">
        <v>0</v>
      </c>
      <c r="C198" s="1178">
        <v>0</v>
      </c>
      <c r="D198" s="1178">
        <v>1</v>
      </c>
      <c r="E198" s="1179">
        <v>0</v>
      </c>
      <c r="F198" s="1178">
        <v>0</v>
      </c>
      <c r="G198" s="1179">
        <v>0</v>
      </c>
      <c r="H198" s="1180">
        <v>0</v>
      </c>
      <c r="I198" s="1180">
        <v>0</v>
      </c>
      <c r="J198" s="1180">
        <v>0</v>
      </c>
      <c r="K198" s="1180">
        <v>0</v>
      </c>
      <c r="L198" s="1180">
        <v>0</v>
      </c>
      <c r="M198" s="1181">
        <v>0</v>
      </c>
      <c r="N198" s="1181">
        <v>0</v>
      </c>
      <c r="O198" s="488">
        <f t="shared" si="55"/>
        <v>0</v>
      </c>
      <c r="P198" s="1182">
        <f t="shared" si="56"/>
        <v>0</v>
      </c>
    </row>
    <row r="199" spans="1:16" x14ac:dyDescent="0.25">
      <c r="A199" s="1186" t="s">
        <v>200</v>
      </c>
      <c r="B199" s="1178">
        <v>0</v>
      </c>
      <c r="C199" s="1178">
        <v>0</v>
      </c>
      <c r="D199" s="1178">
        <v>0</v>
      </c>
      <c r="E199" s="1179">
        <v>0</v>
      </c>
      <c r="F199" s="1178">
        <v>0</v>
      </c>
      <c r="G199" s="1179">
        <v>0</v>
      </c>
      <c r="H199" s="1180">
        <v>0</v>
      </c>
      <c r="I199" s="1180">
        <v>0</v>
      </c>
      <c r="J199" s="1180">
        <v>0</v>
      </c>
      <c r="K199" s="1180">
        <v>0</v>
      </c>
      <c r="L199" s="1180">
        <v>0</v>
      </c>
      <c r="M199" s="1181">
        <v>0</v>
      </c>
      <c r="N199" s="1181">
        <v>0</v>
      </c>
      <c r="O199" s="488">
        <f t="shared" si="55"/>
        <v>0</v>
      </c>
      <c r="P199" s="1182">
        <f t="shared" si="56"/>
        <v>0</v>
      </c>
    </row>
    <row r="200" spans="1:16" x14ac:dyDescent="0.25">
      <c r="A200" s="1186" t="s">
        <v>506</v>
      </c>
      <c r="B200" s="1178">
        <v>0</v>
      </c>
      <c r="C200" s="1178">
        <v>0</v>
      </c>
      <c r="D200" s="1178">
        <v>0</v>
      </c>
      <c r="E200" s="1179">
        <v>0</v>
      </c>
      <c r="F200" s="1178">
        <v>0</v>
      </c>
      <c r="G200" s="1179">
        <v>2</v>
      </c>
      <c r="H200" s="1180">
        <v>0</v>
      </c>
      <c r="I200" s="1180">
        <v>0</v>
      </c>
      <c r="J200" s="1180">
        <v>0</v>
      </c>
      <c r="K200" s="1180">
        <v>0</v>
      </c>
      <c r="L200" s="1180">
        <v>0</v>
      </c>
      <c r="M200" s="1181">
        <v>1</v>
      </c>
      <c r="N200" s="1181">
        <v>0</v>
      </c>
      <c r="O200" s="488">
        <f t="shared" si="55"/>
        <v>0.2</v>
      </c>
      <c r="P200" s="1182">
        <f t="shared" si="56"/>
        <v>3.3478406427854036E-4</v>
      </c>
    </row>
    <row r="201" spans="1:16" x14ac:dyDescent="0.25">
      <c r="A201" s="1186" t="s">
        <v>201</v>
      </c>
      <c r="B201" s="1178">
        <v>0</v>
      </c>
      <c r="C201" s="1178">
        <v>0</v>
      </c>
      <c r="D201" s="1178">
        <v>2</v>
      </c>
      <c r="E201" s="1179">
        <v>0</v>
      </c>
      <c r="F201" s="1178">
        <v>1</v>
      </c>
      <c r="G201" s="1179">
        <v>1</v>
      </c>
      <c r="H201" s="1180">
        <v>1</v>
      </c>
      <c r="I201" s="1180">
        <v>0</v>
      </c>
      <c r="J201" s="1180">
        <v>2</v>
      </c>
      <c r="K201" s="1180">
        <v>0</v>
      </c>
      <c r="L201" s="1180">
        <v>2</v>
      </c>
      <c r="M201" s="1181">
        <v>1</v>
      </c>
      <c r="N201" s="1181">
        <v>4</v>
      </c>
      <c r="O201" s="488">
        <f t="shared" si="55"/>
        <v>1.8</v>
      </c>
      <c r="P201" s="1182">
        <f t="shared" si="56"/>
        <v>3.0130565785068631E-3</v>
      </c>
    </row>
    <row r="202" spans="1:16" x14ac:dyDescent="0.25">
      <c r="A202" s="495" t="s">
        <v>35</v>
      </c>
      <c r="B202" s="471">
        <f t="shared" ref="B202:J202" si="57">SUM(B195:B201)</f>
        <v>1</v>
      </c>
      <c r="C202" s="471">
        <f t="shared" si="57"/>
        <v>3</v>
      </c>
      <c r="D202" s="471">
        <f t="shared" si="57"/>
        <v>6</v>
      </c>
      <c r="E202" s="663">
        <f t="shared" si="57"/>
        <v>1</v>
      </c>
      <c r="F202" s="471">
        <f t="shared" si="57"/>
        <v>6</v>
      </c>
      <c r="G202" s="663">
        <f t="shared" si="57"/>
        <v>3</v>
      </c>
      <c r="H202" s="488">
        <f t="shared" si="57"/>
        <v>5</v>
      </c>
      <c r="I202" s="488">
        <f t="shared" si="57"/>
        <v>0</v>
      </c>
      <c r="J202" s="488">
        <f t="shared" si="57"/>
        <v>5</v>
      </c>
      <c r="K202" s="488">
        <f>SUM(K195:K201)</f>
        <v>2</v>
      </c>
      <c r="L202" s="488">
        <f>SUM(L195:L201)</f>
        <v>2</v>
      </c>
      <c r="M202" s="488">
        <f>SUM(M195:M201)</f>
        <v>3</v>
      </c>
      <c r="N202" s="488">
        <f>SUM(N195:N201)</f>
        <v>7</v>
      </c>
      <c r="O202" s="488">
        <f t="shared" si="55"/>
        <v>3.8</v>
      </c>
      <c r="P202" s="494">
        <f>SUM(P195:P201)</f>
        <v>6.3608972212922665E-3</v>
      </c>
    </row>
    <row r="203" spans="1:16" x14ac:dyDescent="0.25">
      <c r="A203" s="492" t="s">
        <v>202</v>
      </c>
      <c r="B203" s="470" t="s">
        <v>853</v>
      </c>
      <c r="C203" s="470" t="s">
        <v>585</v>
      </c>
      <c r="D203" s="470" t="s">
        <v>1307</v>
      </c>
      <c r="E203" s="662" t="s">
        <v>560</v>
      </c>
      <c r="F203" s="470" t="s">
        <v>866</v>
      </c>
      <c r="G203" s="662" t="s">
        <v>620</v>
      </c>
      <c r="H203" s="489" t="s">
        <v>720</v>
      </c>
      <c r="I203" s="487" t="s">
        <v>915</v>
      </c>
      <c r="J203" s="487" t="s">
        <v>1364</v>
      </c>
      <c r="K203" s="487" t="s">
        <v>1385</v>
      </c>
      <c r="L203" s="487" t="s">
        <v>1386</v>
      </c>
      <c r="M203" s="1429" t="s">
        <v>1387</v>
      </c>
      <c r="N203" s="1429" t="s">
        <v>1535</v>
      </c>
      <c r="O203" s="489" t="s">
        <v>30</v>
      </c>
      <c r="P203" s="489" t="s">
        <v>31</v>
      </c>
    </row>
    <row r="204" spans="1:16" x14ac:dyDescent="0.25">
      <c r="A204" s="1186" t="s">
        <v>203</v>
      </c>
      <c r="B204" s="1178">
        <v>7</v>
      </c>
      <c r="C204" s="1178">
        <v>4</v>
      </c>
      <c r="D204" s="1178">
        <v>4</v>
      </c>
      <c r="E204" s="1179">
        <v>2</v>
      </c>
      <c r="F204" s="1178">
        <v>1</v>
      </c>
      <c r="G204" s="1179">
        <v>3</v>
      </c>
      <c r="H204" s="1180">
        <v>0</v>
      </c>
      <c r="I204" s="1180">
        <v>3</v>
      </c>
      <c r="J204" s="1180">
        <v>3</v>
      </c>
      <c r="K204" s="1180">
        <v>2</v>
      </c>
      <c r="L204" s="1180">
        <v>2</v>
      </c>
      <c r="M204" s="1181">
        <v>5</v>
      </c>
      <c r="N204" s="1181">
        <v>3</v>
      </c>
      <c r="O204" s="488">
        <f t="shared" ref="O204:O231" si="58">AVERAGE(J204:N204)</f>
        <v>3</v>
      </c>
      <c r="P204" s="1182">
        <f t="shared" ref="P204:P230" si="59">+O204/$O$452</f>
        <v>5.0217609641781055E-3</v>
      </c>
    </row>
    <row r="205" spans="1:16" x14ac:dyDescent="0.25">
      <c r="A205" s="1186" t="s">
        <v>204</v>
      </c>
      <c r="B205" s="1178">
        <v>2</v>
      </c>
      <c r="C205" s="1178">
        <v>1</v>
      </c>
      <c r="D205" s="1178">
        <v>0</v>
      </c>
      <c r="E205" s="1179">
        <v>4</v>
      </c>
      <c r="F205" s="1178">
        <v>4</v>
      </c>
      <c r="G205" s="1179">
        <v>1</v>
      </c>
      <c r="H205" s="1180">
        <v>0</v>
      </c>
      <c r="I205" s="1180">
        <v>1</v>
      </c>
      <c r="J205" s="1180">
        <v>0</v>
      </c>
      <c r="K205" s="1180">
        <v>4</v>
      </c>
      <c r="L205" s="1180">
        <v>1</v>
      </c>
      <c r="M205" s="1181">
        <v>1</v>
      </c>
      <c r="N205" s="1181">
        <v>2</v>
      </c>
      <c r="O205" s="488">
        <f t="shared" si="58"/>
        <v>1.6</v>
      </c>
      <c r="P205" s="1182">
        <f t="shared" si="59"/>
        <v>2.6782725142283229E-3</v>
      </c>
    </row>
    <row r="206" spans="1:16" x14ac:dyDescent="0.25">
      <c r="A206" s="1186" t="s">
        <v>205</v>
      </c>
      <c r="B206" s="1178">
        <v>0</v>
      </c>
      <c r="C206" s="1178">
        <v>0</v>
      </c>
      <c r="D206" s="1178">
        <v>0</v>
      </c>
      <c r="E206" s="1179">
        <v>0</v>
      </c>
      <c r="F206" s="1178">
        <v>1</v>
      </c>
      <c r="G206" s="1179">
        <v>0</v>
      </c>
      <c r="H206" s="1180">
        <v>0</v>
      </c>
      <c r="I206" s="1180">
        <v>0</v>
      </c>
      <c r="J206" s="1180">
        <v>0</v>
      </c>
      <c r="K206" s="1180">
        <v>1</v>
      </c>
      <c r="L206" s="1180">
        <v>0</v>
      </c>
      <c r="M206" s="1181">
        <v>0</v>
      </c>
      <c r="N206" s="1181">
        <v>0</v>
      </c>
      <c r="O206" s="488">
        <f t="shared" si="58"/>
        <v>0.2</v>
      </c>
      <c r="P206" s="1182">
        <f t="shared" si="59"/>
        <v>3.3478406427854036E-4</v>
      </c>
    </row>
    <row r="207" spans="1:16" x14ac:dyDescent="0.25">
      <c r="A207" s="1187" t="s">
        <v>1422</v>
      </c>
      <c r="B207" s="1178"/>
      <c r="C207" s="1178"/>
      <c r="D207" s="1178"/>
      <c r="E207" s="1179">
        <v>0</v>
      </c>
      <c r="F207" s="1178">
        <v>0</v>
      </c>
      <c r="G207" s="1179">
        <v>0</v>
      </c>
      <c r="H207" s="1180">
        <v>0</v>
      </c>
      <c r="I207" s="1180">
        <v>0</v>
      </c>
      <c r="J207" s="1180">
        <v>0</v>
      </c>
      <c r="K207" s="1180">
        <v>0</v>
      </c>
      <c r="L207" s="1180">
        <v>1</v>
      </c>
      <c r="M207" s="1181">
        <v>0</v>
      </c>
      <c r="N207" s="1181">
        <v>0</v>
      </c>
      <c r="O207" s="488">
        <f t="shared" si="58"/>
        <v>0.2</v>
      </c>
      <c r="P207" s="1182">
        <f t="shared" si="59"/>
        <v>3.3478406427854036E-4</v>
      </c>
    </row>
    <row r="208" spans="1:16" x14ac:dyDescent="0.25">
      <c r="A208" s="1186" t="s">
        <v>206</v>
      </c>
      <c r="B208" s="1178">
        <v>5</v>
      </c>
      <c r="C208" s="1178">
        <v>1</v>
      </c>
      <c r="D208" s="1178">
        <v>4</v>
      </c>
      <c r="E208" s="1179">
        <v>0</v>
      </c>
      <c r="F208" s="1178">
        <v>1</v>
      </c>
      <c r="G208" s="1179">
        <v>0</v>
      </c>
      <c r="H208" s="1180">
        <v>3</v>
      </c>
      <c r="I208" s="1180">
        <v>0</v>
      </c>
      <c r="J208" s="1180">
        <v>2</v>
      </c>
      <c r="K208" s="1180">
        <v>0</v>
      </c>
      <c r="L208" s="1180">
        <v>4</v>
      </c>
      <c r="M208" s="1181">
        <v>2</v>
      </c>
      <c r="N208" s="1181">
        <v>0</v>
      </c>
      <c r="O208" s="488">
        <f t="shared" si="58"/>
        <v>1.6</v>
      </c>
      <c r="P208" s="1182">
        <f t="shared" si="59"/>
        <v>2.6782725142283229E-3</v>
      </c>
    </row>
    <row r="209" spans="1:16" x14ac:dyDescent="0.25">
      <c r="A209" s="1186" t="s">
        <v>207</v>
      </c>
      <c r="B209" s="1178">
        <v>0</v>
      </c>
      <c r="C209" s="1178">
        <v>0</v>
      </c>
      <c r="D209" s="1178">
        <v>0</v>
      </c>
      <c r="E209" s="1179">
        <v>0</v>
      </c>
      <c r="F209" s="1178">
        <v>0</v>
      </c>
      <c r="G209" s="1179">
        <v>0</v>
      </c>
      <c r="H209" s="1180">
        <v>0</v>
      </c>
      <c r="I209" s="1180">
        <v>0</v>
      </c>
      <c r="J209" s="1180">
        <v>0</v>
      </c>
      <c r="K209" s="1180">
        <v>1</v>
      </c>
      <c r="L209" s="1180">
        <v>0</v>
      </c>
      <c r="M209" s="1181">
        <v>0</v>
      </c>
      <c r="N209" s="1181">
        <v>0</v>
      </c>
      <c r="O209" s="488">
        <f t="shared" si="58"/>
        <v>0.2</v>
      </c>
      <c r="P209" s="1182">
        <f t="shared" si="59"/>
        <v>3.3478406427854036E-4</v>
      </c>
    </row>
    <row r="210" spans="1:16" x14ac:dyDescent="0.25">
      <c r="A210" s="1186" t="s">
        <v>208</v>
      </c>
      <c r="B210" s="1178">
        <v>2</v>
      </c>
      <c r="C210" s="1178">
        <v>1</v>
      </c>
      <c r="D210" s="1178">
        <v>5</v>
      </c>
      <c r="E210" s="1179">
        <v>4</v>
      </c>
      <c r="F210" s="1178">
        <v>4</v>
      </c>
      <c r="G210" s="1179">
        <v>7</v>
      </c>
      <c r="H210" s="1180">
        <v>9</v>
      </c>
      <c r="I210" s="1180">
        <v>4</v>
      </c>
      <c r="J210" s="1180">
        <v>1</v>
      </c>
      <c r="K210" s="1180">
        <v>1</v>
      </c>
      <c r="L210" s="1180">
        <v>7</v>
      </c>
      <c r="M210" s="1181">
        <v>2</v>
      </c>
      <c r="N210" s="1181">
        <v>12</v>
      </c>
      <c r="O210" s="488">
        <f t="shared" si="58"/>
        <v>4.5999999999999996</v>
      </c>
      <c r="P210" s="1182">
        <f t="shared" si="59"/>
        <v>7.7000334784064275E-3</v>
      </c>
    </row>
    <row r="211" spans="1:16" x14ac:dyDescent="0.25">
      <c r="A211" s="1186" t="s">
        <v>209</v>
      </c>
      <c r="B211" s="1178">
        <v>2</v>
      </c>
      <c r="C211" s="1178">
        <v>0</v>
      </c>
      <c r="D211" s="1178">
        <v>2</v>
      </c>
      <c r="E211" s="1179">
        <v>8</v>
      </c>
      <c r="F211" s="1178">
        <v>10</v>
      </c>
      <c r="G211" s="1179">
        <v>5</v>
      </c>
      <c r="H211" s="1180">
        <v>1</v>
      </c>
      <c r="I211" s="1180">
        <v>1</v>
      </c>
      <c r="J211" s="1180">
        <v>2</v>
      </c>
      <c r="K211" s="1180">
        <v>0</v>
      </c>
      <c r="L211" s="1180">
        <v>8</v>
      </c>
      <c r="M211" s="1181">
        <v>0</v>
      </c>
      <c r="N211" s="1181">
        <v>7</v>
      </c>
      <c r="O211" s="488">
        <f t="shared" si="58"/>
        <v>3.4</v>
      </c>
      <c r="P211" s="1182">
        <f t="shared" si="59"/>
        <v>5.691329092735186E-3</v>
      </c>
    </row>
    <row r="212" spans="1:16" x14ac:dyDescent="0.25">
      <c r="A212" s="1186" t="s">
        <v>1110</v>
      </c>
      <c r="B212" s="1178">
        <v>0</v>
      </c>
      <c r="C212" s="1178">
        <v>0</v>
      </c>
      <c r="D212" s="1178">
        <v>0</v>
      </c>
      <c r="E212" s="1179">
        <v>1</v>
      </c>
      <c r="F212" s="1178">
        <v>0</v>
      </c>
      <c r="G212" s="1179">
        <v>3</v>
      </c>
      <c r="H212" s="1180">
        <v>2</v>
      </c>
      <c r="I212" s="1180">
        <v>5</v>
      </c>
      <c r="J212" s="1180">
        <v>1</v>
      </c>
      <c r="K212" s="1180">
        <v>2</v>
      </c>
      <c r="L212" s="1180">
        <v>3</v>
      </c>
      <c r="M212" s="1181">
        <v>2</v>
      </c>
      <c r="N212" s="1181">
        <v>2</v>
      </c>
      <c r="O212" s="488">
        <f t="shared" si="58"/>
        <v>2</v>
      </c>
      <c r="P212" s="1182">
        <f t="shared" si="59"/>
        <v>3.3478406427854034E-3</v>
      </c>
    </row>
    <row r="213" spans="1:16" x14ac:dyDescent="0.25">
      <c r="A213" s="1186" t="s">
        <v>210</v>
      </c>
      <c r="B213" s="1178">
        <v>3</v>
      </c>
      <c r="C213" s="1178">
        <v>2</v>
      </c>
      <c r="D213" s="1178">
        <v>2</v>
      </c>
      <c r="E213" s="1179">
        <v>2</v>
      </c>
      <c r="F213" s="1178">
        <v>8</v>
      </c>
      <c r="G213" s="1179">
        <v>5</v>
      </c>
      <c r="H213" s="1180">
        <v>1</v>
      </c>
      <c r="I213" s="1180">
        <v>5</v>
      </c>
      <c r="J213" s="1180">
        <v>0</v>
      </c>
      <c r="K213" s="1180">
        <v>3</v>
      </c>
      <c r="L213" s="1180">
        <v>3</v>
      </c>
      <c r="M213" s="1181">
        <v>2</v>
      </c>
      <c r="N213" s="1181">
        <v>1</v>
      </c>
      <c r="O213" s="488">
        <f t="shared" si="58"/>
        <v>1.8</v>
      </c>
      <c r="P213" s="1182">
        <f t="shared" si="59"/>
        <v>3.0130565785068631E-3</v>
      </c>
    </row>
    <row r="214" spans="1:16" x14ac:dyDescent="0.25">
      <c r="A214" s="1186" t="s">
        <v>1578</v>
      </c>
      <c r="B214" s="1487"/>
      <c r="C214" s="1487"/>
      <c r="D214" s="1487"/>
      <c r="E214" s="1179"/>
      <c r="F214" s="1487"/>
      <c r="G214" s="1179"/>
      <c r="H214" s="1180"/>
      <c r="I214" s="1180"/>
      <c r="J214" s="1180">
        <v>0</v>
      </c>
      <c r="K214" s="1180">
        <v>0</v>
      </c>
      <c r="L214" s="1180">
        <v>0</v>
      </c>
      <c r="M214" s="1181">
        <v>0</v>
      </c>
      <c r="N214" s="1181">
        <v>1</v>
      </c>
      <c r="O214" s="488">
        <f t="shared" ref="O214" si="60">AVERAGE(J214:N214)</f>
        <v>0.2</v>
      </c>
      <c r="P214" s="1182">
        <f t="shared" si="59"/>
        <v>3.3478406427854036E-4</v>
      </c>
    </row>
    <row r="215" spans="1:16" x14ac:dyDescent="0.25">
      <c r="A215" s="1186" t="s">
        <v>211</v>
      </c>
      <c r="B215" s="1178">
        <v>0</v>
      </c>
      <c r="C215" s="1178">
        <v>0</v>
      </c>
      <c r="D215" s="1178">
        <v>0</v>
      </c>
      <c r="E215" s="1179">
        <v>0</v>
      </c>
      <c r="F215" s="1178">
        <v>0</v>
      </c>
      <c r="G215" s="1179">
        <v>0</v>
      </c>
      <c r="H215" s="1180">
        <v>0</v>
      </c>
      <c r="I215" s="1180">
        <v>0</v>
      </c>
      <c r="J215" s="1180">
        <v>0</v>
      </c>
      <c r="K215" s="1180">
        <v>0</v>
      </c>
      <c r="L215" s="1180">
        <v>0</v>
      </c>
      <c r="M215" s="1180">
        <v>0</v>
      </c>
      <c r="N215" s="1180">
        <v>0</v>
      </c>
      <c r="O215" s="488">
        <f t="shared" si="58"/>
        <v>0</v>
      </c>
      <c r="P215" s="1182">
        <f t="shared" si="59"/>
        <v>0</v>
      </c>
    </row>
    <row r="216" spans="1:16" x14ac:dyDescent="0.25">
      <c r="A216" s="1186" t="s">
        <v>212</v>
      </c>
      <c r="B216" s="1178">
        <v>17</v>
      </c>
      <c r="C216" s="1178">
        <v>12</v>
      </c>
      <c r="D216" s="1178">
        <v>10</v>
      </c>
      <c r="E216" s="1179">
        <v>8</v>
      </c>
      <c r="F216" s="1178">
        <v>16</v>
      </c>
      <c r="G216" s="1179">
        <v>6</v>
      </c>
      <c r="H216" s="1180">
        <v>19</v>
      </c>
      <c r="I216" s="1180">
        <v>3</v>
      </c>
      <c r="J216" s="1180">
        <v>9</v>
      </c>
      <c r="K216" s="1180">
        <v>12</v>
      </c>
      <c r="L216" s="1180">
        <v>9</v>
      </c>
      <c r="M216" s="1181">
        <v>9</v>
      </c>
      <c r="N216" s="1181">
        <v>3</v>
      </c>
      <c r="O216" s="488">
        <f t="shared" si="58"/>
        <v>8.4</v>
      </c>
      <c r="P216" s="1182">
        <f t="shared" si="59"/>
        <v>1.4060930699698696E-2</v>
      </c>
    </row>
    <row r="217" spans="1:16" x14ac:dyDescent="0.25">
      <c r="A217" s="1186" t="s">
        <v>213</v>
      </c>
      <c r="B217" s="1178">
        <v>5</v>
      </c>
      <c r="C217" s="1178">
        <v>0</v>
      </c>
      <c r="D217" s="1178">
        <v>9</v>
      </c>
      <c r="E217" s="1179">
        <v>6</v>
      </c>
      <c r="F217" s="1178">
        <v>7</v>
      </c>
      <c r="G217" s="1179">
        <v>2</v>
      </c>
      <c r="H217" s="1180">
        <v>3</v>
      </c>
      <c r="I217" s="1180">
        <v>0</v>
      </c>
      <c r="J217" s="1180">
        <v>7</v>
      </c>
      <c r="K217" s="1180">
        <v>6</v>
      </c>
      <c r="L217" s="1180">
        <v>3</v>
      </c>
      <c r="M217" s="1181">
        <v>3</v>
      </c>
      <c r="N217" s="1181">
        <v>2</v>
      </c>
      <c r="O217" s="488">
        <f t="shared" si="58"/>
        <v>4.2</v>
      </c>
      <c r="P217" s="1182">
        <f t="shared" si="59"/>
        <v>7.0304653498493479E-3</v>
      </c>
    </row>
    <row r="218" spans="1:16" x14ac:dyDescent="0.25">
      <c r="A218" s="1186" t="s">
        <v>214</v>
      </c>
      <c r="B218" s="1178">
        <v>10</v>
      </c>
      <c r="C218" s="1178">
        <v>4</v>
      </c>
      <c r="D218" s="1178">
        <v>8</v>
      </c>
      <c r="E218" s="1179">
        <v>7</v>
      </c>
      <c r="F218" s="1178">
        <v>5</v>
      </c>
      <c r="G218" s="1179">
        <v>7</v>
      </c>
      <c r="H218" s="1180">
        <v>7</v>
      </c>
      <c r="I218" s="1180">
        <v>6</v>
      </c>
      <c r="J218" s="1180">
        <v>10</v>
      </c>
      <c r="K218" s="1180">
        <v>7</v>
      </c>
      <c r="L218" s="1180">
        <v>4</v>
      </c>
      <c r="M218" s="1181">
        <v>9</v>
      </c>
      <c r="N218" s="1181">
        <v>4</v>
      </c>
      <c r="O218" s="488">
        <f t="shared" si="58"/>
        <v>6.8</v>
      </c>
      <c r="P218" s="1182">
        <f t="shared" si="59"/>
        <v>1.1382658185470372E-2</v>
      </c>
    </row>
    <row r="219" spans="1:16" x14ac:dyDescent="0.25">
      <c r="A219" s="1186" t="s">
        <v>215</v>
      </c>
      <c r="B219" s="1178">
        <v>3</v>
      </c>
      <c r="C219" s="1178">
        <v>1</v>
      </c>
      <c r="D219" s="1178">
        <v>3</v>
      </c>
      <c r="E219" s="1179">
        <v>3</v>
      </c>
      <c r="F219" s="1178">
        <v>5</v>
      </c>
      <c r="G219" s="1179">
        <v>3</v>
      </c>
      <c r="H219" s="1180">
        <v>1</v>
      </c>
      <c r="I219" s="1180">
        <v>4</v>
      </c>
      <c r="J219" s="1180">
        <v>3</v>
      </c>
      <c r="K219" s="1180">
        <v>3</v>
      </c>
      <c r="L219" s="1180">
        <v>2</v>
      </c>
      <c r="M219" s="1181">
        <v>4</v>
      </c>
      <c r="N219" s="1181">
        <v>2</v>
      </c>
      <c r="O219" s="488">
        <f t="shared" si="58"/>
        <v>2.8</v>
      </c>
      <c r="P219" s="1182">
        <f t="shared" si="59"/>
        <v>4.6869768998995644E-3</v>
      </c>
    </row>
    <row r="220" spans="1:16" x14ac:dyDescent="0.25">
      <c r="A220" s="1186" t="s">
        <v>216</v>
      </c>
      <c r="B220" s="1178">
        <v>0</v>
      </c>
      <c r="C220" s="1178">
        <v>0</v>
      </c>
      <c r="D220" s="1178">
        <v>0</v>
      </c>
      <c r="E220" s="1179">
        <v>0</v>
      </c>
      <c r="F220" s="1178">
        <v>0</v>
      </c>
      <c r="G220" s="1179">
        <v>0</v>
      </c>
      <c r="H220" s="1180">
        <v>0</v>
      </c>
      <c r="I220" s="1180">
        <v>0</v>
      </c>
      <c r="J220" s="1180">
        <v>0</v>
      </c>
      <c r="K220" s="1180">
        <v>0</v>
      </c>
      <c r="L220" s="1180">
        <v>0</v>
      </c>
      <c r="M220" s="1181">
        <v>1</v>
      </c>
      <c r="N220" s="1181">
        <v>0</v>
      </c>
      <c r="O220" s="488">
        <f t="shared" si="58"/>
        <v>0.2</v>
      </c>
      <c r="P220" s="1182">
        <f t="shared" si="59"/>
        <v>3.3478406427854036E-4</v>
      </c>
    </row>
    <row r="221" spans="1:16" x14ac:dyDescent="0.25">
      <c r="A221" s="1186" t="s">
        <v>1111</v>
      </c>
      <c r="B221" s="1178">
        <v>0</v>
      </c>
      <c r="C221" s="1178">
        <v>0</v>
      </c>
      <c r="D221" s="1178">
        <v>0</v>
      </c>
      <c r="E221" s="1179">
        <v>1</v>
      </c>
      <c r="F221" s="1178">
        <v>0</v>
      </c>
      <c r="G221" s="1179">
        <v>0</v>
      </c>
      <c r="H221" s="1180">
        <v>1</v>
      </c>
      <c r="I221" s="1180">
        <v>1</v>
      </c>
      <c r="J221" s="1180">
        <v>0</v>
      </c>
      <c r="K221" s="1180">
        <v>0</v>
      </c>
      <c r="L221" s="1180">
        <v>0</v>
      </c>
      <c r="M221" s="1181">
        <v>0</v>
      </c>
      <c r="N221" s="1181">
        <v>0</v>
      </c>
      <c r="O221" s="488">
        <f t="shared" si="58"/>
        <v>0</v>
      </c>
      <c r="P221" s="1182">
        <f t="shared" si="59"/>
        <v>0</v>
      </c>
    </row>
    <row r="222" spans="1:16" x14ac:dyDescent="0.25">
      <c r="A222" s="1186" t="s">
        <v>217</v>
      </c>
      <c r="B222" s="1178">
        <v>0</v>
      </c>
      <c r="C222" s="1178">
        <v>0</v>
      </c>
      <c r="D222" s="1178">
        <v>0</v>
      </c>
      <c r="E222" s="1179">
        <v>0</v>
      </c>
      <c r="F222" s="1178">
        <v>2</v>
      </c>
      <c r="G222" s="1179">
        <v>1</v>
      </c>
      <c r="H222" s="1180">
        <v>0</v>
      </c>
      <c r="I222" s="1180">
        <v>1</v>
      </c>
      <c r="J222" s="1180">
        <v>0</v>
      </c>
      <c r="K222" s="1180">
        <v>0</v>
      </c>
      <c r="L222" s="1180">
        <v>0</v>
      </c>
      <c r="M222" s="1181">
        <v>0</v>
      </c>
      <c r="N222" s="1181">
        <v>0</v>
      </c>
      <c r="O222" s="488">
        <f t="shared" si="58"/>
        <v>0</v>
      </c>
      <c r="P222" s="1182">
        <f t="shared" si="59"/>
        <v>0</v>
      </c>
    </row>
    <row r="223" spans="1:16" x14ac:dyDescent="0.25">
      <c r="A223" s="1186" t="s">
        <v>218</v>
      </c>
      <c r="B223" s="1178">
        <v>1</v>
      </c>
      <c r="C223" s="1178">
        <v>3</v>
      </c>
      <c r="D223" s="1178">
        <v>0</v>
      </c>
      <c r="E223" s="1179">
        <v>1</v>
      </c>
      <c r="F223" s="1178">
        <v>1</v>
      </c>
      <c r="G223" s="1179">
        <v>0</v>
      </c>
      <c r="H223" s="1180">
        <v>4</v>
      </c>
      <c r="I223" s="1180">
        <v>0</v>
      </c>
      <c r="J223" s="1180">
        <v>4</v>
      </c>
      <c r="K223" s="1180">
        <v>1</v>
      </c>
      <c r="L223" s="1180">
        <v>0</v>
      </c>
      <c r="M223" s="1181">
        <v>6</v>
      </c>
      <c r="N223" s="1181">
        <v>0</v>
      </c>
      <c r="O223" s="488">
        <f t="shared" si="58"/>
        <v>2.2000000000000002</v>
      </c>
      <c r="P223" s="1182">
        <f t="shared" si="59"/>
        <v>3.6826247070639441E-3</v>
      </c>
    </row>
    <row r="224" spans="1:16" x14ac:dyDescent="0.25">
      <c r="A224" s="1186" t="s">
        <v>219</v>
      </c>
      <c r="B224" s="1178">
        <v>0</v>
      </c>
      <c r="C224" s="1178">
        <v>1</v>
      </c>
      <c r="D224" s="1178">
        <v>0</v>
      </c>
      <c r="E224" s="1179">
        <v>0</v>
      </c>
      <c r="F224" s="1178">
        <v>1</v>
      </c>
      <c r="G224" s="1179">
        <v>0</v>
      </c>
      <c r="H224" s="1180">
        <v>2</v>
      </c>
      <c r="I224" s="1180">
        <v>0</v>
      </c>
      <c r="J224" s="1180">
        <v>0</v>
      </c>
      <c r="K224" s="1180">
        <v>0</v>
      </c>
      <c r="L224" s="1180">
        <v>0</v>
      </c>
      <c r="M224" s="1181">
        <v>0</v>
      </c>
      <c r="N224" s="1181">
        <v>0</v>
      </c>
      <c r="O224" s="488">
        <f t="shared" si="58"/>
        <v>0</v>
      </c>
      <c r="P224" s="1182">
        <f t="shared" si="59"/>
        <v>0</v>
      </c>
    </row>
    <row r="225" spans="1:16" x14ac:dyDescent="0.25">
      <c r="A225" s="1187" t="s">
        <v>1423</v>
      </c>
      <c r="B225" s="1178"/>
      <c r="C225" s="1178"/>
      <c r="D225" s="1178"/>
      <c r="E225" s="1179">
        <v>0</v>
      </c>
      <c r="F225" s="1178">
        <v>0</v>
      </c>
      <c r="G225" s="1179">
        <v>0</v>
      </c>
      <c r="H225" s="1180">
        <v>0</v>
      </c>
      <c r="I225" s="1180">
        <v>0</v>
      </c>
      <c r="J225" s="1180">
        <v>0</v>
      </c>
      <c r="K225" s="1180">
        <v>0</v>
      </c>
      <c r="L225" s="1180">
        <v>0</v>
      </c>
      <c r="M225" s="1181">
        <v>1</v>
      </c>
      <c r="N225" s="1181">
        <v>0</v>
      </c>
      <c r="O225" s="488">
        <f t="shared" si="58"/>
        <v>0.2</v>
      </c>
      <c r="P225" s="1182">
        <f t="shared" si="59"/>
        <v>3.3478406427854036E-4</v>
      </c>
    </row>
    <row r="226" spans="1:16" x14ac:dyDescent="0.25">
      <c r="A226" s="1186" t="s">
        <v>220</v>
      </c>
      <c r="B226" s="1178">
        <v>3</v>
      </c>
      <c r="C226" s="1178">
        <v>3</v>
      </c>
      <c r="D226" s="1178">
        <v>10</v>
      </c>
      <c r="E226" s="1179">
        <v>5</v>
      </c>
      <c r="F226" s="1178">
        <v>1</v>
      </c>
      <c r="G226" s="1179">
        <v>7</v>
      </c>
      <c r="H226" s="1180">
        <v>0</v>
      </c>
      <c r="I226" s="1180">
        <v>1</v>
      </c>
      <c r="J226" s="1180">
        <v>2</v>
      </c>
      <c r="K226" s="1180">
        <v>2</v>
      </c>
      <c r="L226" s="1180">
        <v>4</v>
      </c>
      <c r="M226" s="1181">
        <v>2</v>
      </c>
      <c r="N226" s="1181">
        <v>1</v>
      </c>
      <c r="O226" s="488">
        <f t="shared" si="58"/>
        <v>2.2000000000000002</v>
      </c>
      <c r="P226" s="1182">
        <f t="shared" si="59"/>
        <v>3.6826247070639441E-3</v>
      </c>
    </row>
    <row r="227" spans="1:16" x14ac:dyDescent="0.25">
      <c r="A227" s="1186" t="s">
        <v>221</v>
      </c>
      <c r="B227" s="1178">
        <v>2</v>
      </c>
      <c r="C227" s="1178">
        <v>6</v>
      </c>
      <c r="D227" s="1178">
        <v>2</v>
      </c>
      <c r="E227" s="1179">
        <v>6</v>
      </c>
      <c r="F227" s="1178">
        <v>5</v>
      </c>
      <c r="G227" s="1179">
        <v>6</v>
      </c>
      <c r="H227" s="1180">
        <v>5</v>
      </c>
      <c r="I227" s="1180">
        <v>1</v>
      </c>
      <c r="J227" s="1180">
        <v>1</v>
      </c>
      <c r="K227" s="1180">
        <v>6</v>
      </c>
      <c r="L227" s="1180">
        <v>12</v>
      </c>
      <c r="M227" s="1181">
        <v>9</v>
      </c>
      <c r="N227" s="1181">
        <v>2</v>
      </c>
      <c r="O227" s="488">
        <f t="shared" si="58"/>
        <v>6</v>
      </c>
      <c r="P227" s="1182">
        <f t="shared" si="59"/>
        <v>1.0043521928356211E-2</v>
      </c>
    </row>
    <row r="228" spans="1:16" x14ac:dyDescent="0.25">
      <c r="A228" s="1186" t="s">
        <v>222</v>
      </c>
      <c r="B228" s="1178">
        <v>0</v>
      </c>
      <c r="C228" s="1178">
        <v>0</v>
      </c>
      <c r="D228" s="1178">
        <v>0</v>
      </c>
      <c r="E228" s="1179">
        <v>0</v>
      </c>
      <c r="F228" s="1178">
        <v>0</v>
      </c>
      <c r="G228" s="1179">
        <v>0</v>
      </c>
      <c r="H228" s="1180">
        <v>0</v>
      </c>
      <c r="I228" s="1180">
        <v>0</v>
      </c>
      <c r="J228" s="1180">
        <v>0</v>
      </c>
      <c r="K228" s="1180">
        <v>0</v>
      </c>
      <c r="L228" s="1180">
        <v>0</v>
      </c>
      <c r="M228" s="1181">
        <v>0</v>
      </c>
      <c r="N228" s="1181">
        <v>0</v>
      </c>
      <c r="O228" s="488">
        <f t="shared" si="58"/>
        <v>0</v>
      </c>
      <c r="P228" s="1182">
        <f t="shared" si="59"/>
        <v>0</v>
      </c>
    </row>
    <row r="229" spans="1:16" x14ac:dyDescent="0.25">
      <c r="A229" s="1186" t="s">
        <v>223</v>
      </c>
      <c r="B229" s="1178">
        <v>2</v>
      </c>
      <c r="C229" s="1178">
        <v>8</v>
      </c>
      <c r="D229" s="1178">
        <v>0</v>
      </c>
      <c r="E229" s="1179">
        <v>4</v>
      </c>
      <c r="F229" s="1178">
        <v>7</v>
      </c>
      <c r="G229" s="1179">
        <v>11</v>
      </c>
      <c r="H229" s="1180">
        <v>8</v>
      </c>
      <c r="I229" s="1180">
        <v>4</v>
      </c>
      <c r="J229" s="1180">
        <v>5</v>
      </c>
      <c r="K229" s="1180">
        <v>3</v>
      </c>
      <c r="L229" s="1180">
        <v>1</v>
      </c>
      <c r="M229" s="1181">
        <v>6</v>
      </c>
      <c r="N229" s="1181">
        <v>9</v>
      </c>
      <c r="O229" s="488">
        <f t="shared" si="58"/>
        <v>4.8</v>
      </c>
      <c r="P229" s="1182">
        <f t="shared" si="59"/>
        <v>8.0348175426849678E-3</v>
      </c>
    </row>
    <row r="230" spans="1:16" x14ac:dyDescent="0.25">
      <c r="A230" s="1186" t="s">
        <v>224</v>
      </c>
      <c r="B230" s="1178">
        <v>2</v>
      </c>
      <c r="C230" s="1178">
        <v>3</v>
      </c>
      <c r="D230" s="1178">
        <v>3</v>
      </c>
      <c r="E230" s="1179">
        <v>9</v>
      </c>
      <c r="F230" s="1178">
        <v>3</v>
      </c>
      <c r="G230" s="1179">
        <v>7</v>
      </c>
      <c r="H230" s="1180">
        <v>11</v>
      </c>
      <c r="I230" s="1180">
        <v>6</v>
      </c>
      <c r="J230" s="1180">
        <v>4</v>
      </c>
      <c r="K230" s="1180">
        <v>9</v>
      </c>
      <c r="L230" s="1180">
        <v>10</v>
      </c>
      <c r="M230" s="1181">
        <v>2</v>
      </c>
      <c r="N230" s="1181">
        <v>2</v>
      </c>
      <c r="O230" s="488">
        <f t="shared" si="58"/>
        <v>5.4</v>
      </c>
      <c r="P230" s="1182">
        <f t="shared" si="59"/>
        <v>9.0391697355205903E-3</v>
      </c>
    </row>
    <row r="231" spans="1:16" x14ac:dyDescent="0.25">
      <c r="A231" s="495" t="s">
        <v>35</v>
      </c>
      <c r="B231" s="471">
        <f t="shared" ref="B231:J231" si="61">SUM(B204:B230)</f>
        <v>66</v>
      </c>
      <c r="C231" s="471">
        <f t="shared" si="61"/>
        <v>50</v>
      </c>
      <c r="D231" s="471">
        <f t="shared" si="61"/>
        <v>62</v>
      </c>
      <c r="E231" s="663">
        <f t="shared" si="61"/>
        <v>71</v>
      </c>
      <c r="F231" s="471">
        <f t="shared" si="61"/>
        <v>82</v>
      </c>
      <c r="G231" s="663">
        <f t="shared" si="61"/>
        <v>74</v>
      </c>
      <c r="H231" s="488">
        <f t="shared" si="61"/>
        <v>77</v>
      </c>
      <c r="I231" s="488">
        <f t="shared" si="61"/>
        <v>46</v>
      </c>
      <c r="J231" s="488">
        <f t="shared" si="61"/>
        <v>54</v>
      </c>
      <c r="K231" s="488">
        <f>SUM(K204:K230)</f>
        <v>63</v>
      </c>
      <c r="L231" s="488">
        <f>SUM(L204:L230)</f>
        <v>74</v>
      </c>
      <c r="M231" s="488">
        <f>SUM(M204:M230)</f>
        <v>66</v>
      </c>
      <c r="N231" s="488">
        <f>SUM(N204:N230)</f>
        <v>53</v>
      </c>
      <c r="O231" s="488">
        <f t="shared" si="58"/>
        <v>62</v>
      </c>
      <c r="P231" s="494">
        <f>SUM(P204:P230)</f>
        <v>0.10378305992634752</v>
      </c>
    </row>
    <row r="232" spans="1:16" x14ac:dyDescent="0.25">
      <c r="A232" s="492" t="s">
        <v>225</v>
      </c>
      <c r="B232" s="470" t="s">
        <v>853</v>
      </c>
      <c r="C232" s="470" t="s">
        <v>585</v>
      </c>
      <c r="D232" s="470" t="s">
        <v>1307</v>
      </c>
      <c r="E232" s="662" t="s">
        <v>560</v>
      </c>
      <c r="F232" s="470" t="s">
        <v>866</v>
      </c>
      <c r="G232" s="662" t="s">
        <v>620</v>
      </c>
      <c r="H232" s="489" t="s">
        <v>720</v>
      </c>
      <c r="I232" s="487" t="s">
        <v>915</v>
      </c>
      <c r="J232" s="487" t="s">
        <v>1364</v>
      </c>
      <c r="K232" s="487" t="s">
        <v>1385</v>
      </c>
      <c r="L232" s="487" t="s">
        <v>1386</v>
      </c>
      <c r="M232" s="1429" t="s">
        <v>1387</v>
      </c>
      <c r="N232" s="1429" t="s">
        <v>1535</v>
      </c>
      <c r="O232" s="489" t="s">
        <v>30</v>
      </c>
      <c r="P232" s="489" t="s">
        <v>31</v>
      </c>
    </row>
    <row r="233" spans="1:16" x14ac:dyDescent="0.25">
      <c r="A233" s="1186" t="s">
        <v>226</v>
      </c>
      <c r="B233" s="1178">
        <v>2</v>
      </c>
      <c r="C233" s="1178">
        <v>7</v>
      </c>
      <c r="D233" s="1178">
        <v>1</v>
      </c>
      <c r="E233" s="1179">
        <v>3</v>
      </c>
      <c r="F233" s="1178">
        <v>0</v>
      </c>
      <c r="G233" s="1179">
        <v>0</v>
      </c>
      <c r="H233" s="1180">
        <v>0</v>
      </c>
      <c r="I233" s="1180">
        <v>0</v>
      </c>
      <c r="J233" s="1180">
        <v>0</v>
      </c>
      <c r="K233" s="1180">
        <v>0</v>
      </c>
      <c r="L233" s="1180">
        <v>0</v>
      </c>
      <c r="M233" s="1180">
        <v>0</v>
      </c>
      <c r="N233" s="1180">
        <v>0</v>
      </c>
      <c r="O233" s="488">
        <f t="shared" ref="O233:O243" si="62">AVERAGE(J233:N233)</f>
        <v>0</v>
      </c>
      <c r="P233" s="1182">
        <f t="shared" ref="P233:P242" si="63">+O233/$O$452</f>
        <v>0</v>
      </c>
    </row>
    <row r="234" spans="1:16" x14ac:dyDescent="0.25">
      <c r="A234" s="1186" t="s">
        <v>227</v>
      </c>
      <c r="B234" s="1178">
        <v>0</v>
      </c>
      <c r="C234" s="1178">
        <v>0</v>
      </c>
      <c r="D234" s="1178">
        <v>2</v>
      </c>
      <c r="E234" s="1179">
        <v>0</v>
      </c>
      <c r="F234" s="1178">
        <v>0</v>
      </c>
      <c r="G234" s="1179">
        <v>0</v>
      </c>
      <c r="H234" s="1180">
        <v>0</v>
      </c>
      <c r="I234" s="1180">
        <v>0</v>
      </c>
      <c r="J234" s="1180">
        <v>0</v>
      </c>
      <c r="K234" s="1180">
        <v>0</v>
      </c>
      <c r="L234" s="1180">
        <v>0</v>
      </c>
      <c r="M234" s="1180">
        <v>0</v>
      </c>
      <c r="N234" s="1180">
        <v>0</v>
      </c>
      <c r="O234" s="488">
        <f t="shared" si="62"/>
        <v>0</v>
      </c>
      <c r="P234" s="1182">
        <f t="shared" si="63"/>
        <v>0</v>
      </c>
    </row>
    <row r="235" spans="1:16" x14ac:dyDescent="0.25">
      <c r="A235" s="1186" t="s">
        <v>228</v>
      </c>
      <c r="B235" s="1178">
        <v>0</v>
      </c>
      <c r="C235" s="1178">
        <v>1</v>
      </c>
      <c r="D235" s="1178">
        <v>0</v>
      </c>
      <c r="E235" s="1179">
        <v>0</v>
      </c>
      <c r="F235" s="1178">
        <v>0</v>
      </c>
      <c r="G235" s="1179">
        <v>0</v>
      </c>
      <c r="H235" s="1180">
        <v>0</v>
      </c>
      <c r="I235" s="1180">
        <v>0</v>
      </c>
      <c r="J235" s="1180">
        <v>0</v>
      </c>
      <c r="K235" s="1180">
        <v>0</v>
      </c>
      <c r="L235" s="1180">
        <v>0</v>
      </c>
      <c r="M235" s="1180">
        <v>0</v>
      </c>
      <c r="N235" s="1180">
        <v>0</v>
      </c>
      <c r="O235" s="488">
        <f t="shared" si="62"/>
        <v>0</v>
      </c>
      <c r="P235" s="1182">
        <f t="shared" si="63"/>
        <v>0</v>
      </c>
    </row>
    <row r="236" spans="1:16" x14ac:dyDescent="0.25">
      <c r="A236" s="1186" t="s">
        <v>229</v>
      </c>
      <c r="B236" s="1178">
        <v>16</v>
      </c>
      <c r="C236" s="1178">
        <v>15</v>
      </c>
      <c r="D236" s="1178">
        <v>19</v>
      </c>
      <c r="E236" s="1179">
        <v>26</v>
      </c>
      <c r="F236" s="1178">
        <v>19</v>
      </c>
      <c r="G236" s="1179">
        <v>26</v>
      </c>
      <c r="H236" s="1180">
        <v>20</v>
      </c>
      <c r="I236" s="1180">
        <v>14</v>
      </c>
      <c r="J236" s="1180">
        <v>28</v>
      </c>
      <c r="K236" s="1180">
        <v>38</v>
      </c>
      <c r="L236" s="1180">
        <v>22</v>
      </c>
      <c r="M236" s="1181">
        <v>17</v>
      </c>
      <c r="N236" s="1181">
        <v>19</v>
      </c>
      <c r="O236" s="488">
        <f t="shared" si="62"/>
        <v>24.8</v>
      </c>
      <c r="P236" s="1182">
        <f t="shared" si="63"/>
        <v>4.1513223970539005E-2</v>
      </c>
    </row>
    <row r="237" spans="1:16" x14ac:dyDescent="0.25">
      <c r="A237" s="1186" t="s">
        <v>230</v>
      </c>
      <c r="B237" s="1178">
        <v>2</v>
      </c>
      <c r="C237" s="1178">
        <v>11</v>
      </c>
      <c r="D237" s="1178">
        <v>6</v>
      </c>
      <c r="E237" s="1179">
        <v>10</v>
      </c>
      <c r="F237" s="1178">
        <v>9</v>
      </c>
      <c r="G237" s="1179">
        <v>3</v>
      </c>
      <c r="H237" s="1180">
        <v>3</v>
      </c>
      <c r="I237" s="1180">
        <v>7</v>
      </c>
      <c r="J237" s="1180">
        <v>6</v>
      </c>
      <c r="K237" s="1180">
        <v>4</v>
      </c>
      <c r="L237" s="1180">
        <v>5</v>
      </c>
      <c r="M237" s="1181">
        <v>2</v>
      </c>
      <c r="N237" s="1181">
        <v>3</v>
      </c>
      <c r="O237" s="488">
        <f t="shared" si="62"/>
        <v>4</v>
      </c>
      <c r="P237" s="1182">
        <f t="shared" si="63"/>
        <v>6.6956812855708068E-3</v>
      </c>
    </row>
    <row r="238" spans="1:16" x14ac:dyDescent="0.25">
      <c r="A238" s="1186" t="s">
        <v>231</v>
      </c>
      <c r="B238" s="1178">
        <v>37</v>
      </c>
      <c r="C238" s="1178">
        <v>22</v>
      </c>
      <c r="D238" s="1178">
        <v>32</v>
      </c>
      <c r="E238" s="1179">
        <v>26</v>
      </c>
      <c r="F238" s="1178">
        <v>45</v>
      </c>
      <c r="G238" s="1179">
        <v>52</v>
      </c>
      <c r="H238" s="1180">
        <v>55</v>
      </c>
      <c r="I238" s="1180">
        <v>39</v>
      </c>
      <c r="J238" s="1180">
        <v>44</v>
      </c>
      <c r="K238" s="1180">
        <v>30</v>
      </c>
      <c r="L238" s="1180">
        <v>44</v>
      </c>
      <c r="M238" s="1181">
        <v>25</v>
      </c>
      <c r="N238" s="1181">
        <v>20</v>
      </c>
      <c r="O238" s="488">
        <f t="shared" si="62"/>
        <v>32.6</v>
      </c>
      <c r="P238" s="1182">
        <f t="shared" si="63"/>
        <v>5.4569802477402077E-2</v>
      </c>
    </row>
    <row r="239" spans="1:16" x14ac:dyDescent="0.25">
      <c r="A239" s="1186" t="s">
        <v>729</v>
      </c>
      <c r="B239" s="1178"/>
      <c r="C239" s="1178">
        <v>0</v>
      </c>
      <c r="D239" s="1178">
        <v>0</v>
      </c>
      <c r="E239" s="1179">
        <v>0</v>
      </c>
      <c r="F239" s="1178">
        <v>0</v>
      </c>
      <c r="G239" s="1179">
        <v>0</v>
      </c>
      <c r="H239" s="1180">
        <v>1</v>
      </c>
      <c r="I239" s="1180">
        <v>0</v>
      </c>
      <c r="J239" s="1180">
        <v>2</v>
      </c>
      <c r="K239" s="1180">
        <v>0</v>
      </c>
      <c r="L239" s="1180">
        <v>0</v>
      </c>
      <c r="M239" s="1181">
        <v>0</v>
      </c>
      <c r="N239" s="1181">
        <v>0</v>
      </c>
      <c r="O239" s="488">
        <f t="shared" si="62"/>
        <v>0.4</v>
      </c>
      <c r="P239" s="1182">
        <f t="shared" si="63"/>
        <v>6.6956812855708072E-4</v>
      </c>
    </row>
    <row r="240" spans="1:16" x14ac:dyDescent="0.25">
      <c r="A240" s="1186" t="s">
        <v>232</v>
      </c>
      <c r="B240" s="1178">
        <v>15</v>
      </c>
      <c r="C240" s="1178">
        <v>8</v>
      </c>
      <c r="D240" s="1178">
        <v>14</v>
      </c>
      <c r="E240" s="1179">
        <v>16</v>
      </c>
      <c r="F240" s="1178">
        <v>16</v>
      </c>
      <c r="G240" s="1179">
        <v>10</v>
      </c>
      <c r="H240" s="1180">
        <v>11</v>
      </c>
      <c r="I240" s="1180">
        <v>12</v>
      </c>
      <c r="J240" s="1180">
        <v>15</v>
      </c>
      <c r="K240" s="1180">
        <v>17</v>
      </c>
      <c r="L240" s="1180">
        <v>12</v>
      </c>
      <c r="M240" s="1181">
        <v>8</v>
      </c>
      <c r="N240" s="1181">
        <v>11</v>
      </c>
      <c r="O240" s="488">
        <f t="shared" si="62"/>
        <v>12.6</v>
      </c>
      <c r="P240" s="1182">
        <f t="shared" si="63"/>
        <v>2.1091396049548041E-2</v>
      </c>
    </row>
    <row r="241" spans="1:16" x14ac:dyDescent="0.25">
      <c r="A241" s="469" t="s">
        <v>1424</v>
      </c>
      <c r="B241" s="1178">
        <v>0</v>
      </c>
      <c r="C241" s="1178">
        <v>0</v>
      </c>
      <c r="D241" s="1178">
        <v>0</v>
      </c>
      <c r="E241" s="1179">
        <v>0</v>
      </c>
      <c r="F241" s="1178">
        <v>0</v>
      </c>
      <c r="G241" s="1179">
        <v>0</v>
      </c>
      <c r="H241" s="1180">
        <v>0</v>
      </c>
      <c r="I241" s="1180">
        <v>0</v>
      </c>
      <c r="J241" s="1180">
        <v>0</v>
      </c>
      <c r="K241" s="1180">
        <v>0</v>
      </c>
      <c r="L241" s="1180">
        <v>0</v>
      </c>
      <c r="M241" s="1181">
        <v>1</v>
      </c>
      <c r="N241" s="1181">
        <v>0</v>
      </c>
      <c r="O241" s="488">
        <f t="shared" si="62"/>
        <v>0.2</v>
      </c>
      <c r="P241" s="1182">
        <f t="shared" si="63"/>
        <v>3.3478406427854036E-4</v>
      </c>
    </row>
    <row r="242" spans="1:16" x14ac:dyDescent="0.25">
      <c r="A242" s="1186" t="s">
        <v>233</v>
      </c>
      <c r="B242" s="1178">
        <v>5</v>
      </c>
      <c r="C242" s="1178">
        <v>7</v>
      </c>
      <c r="D242" s="1178">
        <v>4</v>
      </c>
      <c r="E242" s="1179">
        <v>6</v>
      </c>
      <c r="F242" s="1178">
        <v>5</v>
      </c>
      <c r="G242" s="1179">
        <v>6</v>
      </c>
      <c r="H242" s="1180">
        <v>10</v>
      </c>
      <c r="I242" s="1180">
        <v>6</v>
      </c>
      <c r="J242" s="1180">
        <v>7</v>
      </c>
      <c r="K242" s="1180">
        <v>7</v>
      </c>
      <c r="L242" s="1180">
        <v>12</v>
      </c>
      <c r="M242" s="1181">
        <v>10</v>
      </c>
      <c r="N242" s="1181">
        <v>5</v>
      </c>
      <c r="O242" s="488">
        <f t="shared" si="62"/>
        <v>8.1999999999999993</v>
      </c>
      <c r="P242" s="1182">
        <f t="shared" si="63"/>
        <v>1.3726146635420154E-2</v>
      </c>
    </row>
    <row r="243" spans="1:16" x14ac:dyDescent="0.25">
      <c r="A243" s="495" t="s">
        <v>35</v>
      </c>
      <c r="B243" s="471">
        <f t="shared" ref="B243:J243" si="64">SUM(B233:B242)</f>
        <v>77</v>
      </c>
      <c r="C243" s="471">
        <f t="shared" si="64"/>
        <v>71</v>
      </c>
      <c r="D243" s="471">
        <f t="shared" si="64"/>
        <v>78</v>
      </c>
      <c r="E243" s="663">
        <f t="shared" si="64"/>
        <v>87</v>
      </c>
      <c r="F243" s="471">
        <f t="shared" si="64"/>
        <v>94</v>
      </c>
      <c r="G243" s="663">
        <f t="shared" si="64"/>
        <v>97</v>
      </c>
      <c r="H243" s="488">
        <f t="shared" si="64"/>
        <v>100</v>
      </c>
      <c r="I243" s="488">
        <f t="shared" si="64"/>
        <v>78</v>
      </c>
      <c r="J243" s="488">
        <f t="shared" si="64"/>
        <v>102</v>
      </c>
      <c r="K243" s="488">
        <f>SUM(K233:K242)</f>
        <v>96</v>
      </c>
      <c r="L243" s="488">
        <f>SUM(L233:L242)</f>
        <v>95</v>
      </c>
      <c r="M243" s="488">
        <f>SUM(M233:M242)</f>
        <v>63</v>
      </c>
      <c r="N243" s="488">
        <f>SUM(N233:N242)</f>
        <v>58</v>
      </c>
      <c r="O243" s="488">
        <f t="shared" si="62"/>
        <v>82.8</v>
      </c>
      <c r="P243" s="494">
        <f>SUM(P233:P242)</f>
        <v>0.13860060261131571</v>
      </c>
    </row>
    <row r="244" spans="1:16" x14ac:dyDescent="0.25">
      <c r="A244" s="492" t="s">
        <v>234</v>
      </c>
      <c r="B244" s="470" t="s">
        <v>853</v>
      </c>
      <c r="C244" s="470" t="s">
        <v>585</v>
      </c>
      <c r="D244" s="470" t="s">
        <v>1307</v>
      </c>
      <c r="E244" s="662" t="s">
        <v>560</v>
      </c>
      <c r="F244" s="470" t="s">
        <v>866</v>
      </c>
      <c r="G244" s="662" t="s">
        <v>620</v>
      </c>
      <c r="H244" s="489" t="s">
        <v>720</v>
      </c>
      <c r="I244" s="487" t="s">
        <v>915</v>
      </c>
      <c r="J244" s="487" t="s">
        <v>1364</v>
      </c>
      <c r="K244" s="487" t="s">
        <v>1385</v>
      </c>
      <c r="L244" s="487" t="s">
        <v>1386</v>
      </c>
      <c r="M244" s="1429" t="s">
        <v>1387</v>
      </c>
      <c r="N244" s="1429" t="s">
        <v>1535</v>
      </c>
      <c r="O244" s="489" t="s">
        <v>30</v>
      </c>
      <c r="P244" s="489" t="s">
        <v>31</v>
      </c>
    </row>
    <row r="245" spans="1:16" x14ac:dyDescent="0.25">
      <c r="A245" s="1186" t="s">
        <v>236</v>
      </c>
      <c r="B245" s="1178">
        <v>0</v>
      </c>
      <c r="C245" s="1178">
        <v>0</v>
      </c>
      <c r="D245" s="1178">
        <v>1</v>
      </c>
      <c r="E245" s="1179">
        <v>0</v>
      </c>
      <c r="F245" s="1178">
        <v>0</v>
      </c>
      <c r="G245" s="1179">
        <v>0</v>
      </c>
      <c r="H245" s="1180">
        <v>0</v>
      </c>
      <c r="I245" s="1180">
        <v>0</v>
      </c>
      <c r="J245" s="1180">
        <v>0</v>
      </c>
      <c r="K245" s="1180">
        <v>2</v>
      </c>
      <c r="L245" s="1180">
        <v>0</v>
      </c>
      <c r="M245" s="1181">
        <v>1</v>
      </c>
      <c r="N245" s="1181">
        <v>0</v>
      </c>
      <c r="O245" s="488">
        <f t="shared" ref="O245:O248" si="65">AVERAGE(J245:N245)</f>
        <v>0.6</v>
      </c>
      <c r="P245" s="1182">
        <f>+O245/$O$452</f>
        <v>1.004352192835621E-3</v>
      </c>
    </row>
    <row r="246" spans="1:16" x14ac:dyDescent="0.25">
      <c r="A246" s="1186" t="s">
        <v>239</v>
      </c>
      <c r="B246" s="1178">
        <v>0</v>
      </c>
      <c r="C246" s="1178">
        <v>0</v>
      </c>
      <c r="D246" s="1178">
        <v>0</v>
      </c>
      <c r="E246" s="1179">
        <v>0</v>
      </c>
      <c r="F246" s="1178">
        <v>0</v>
      </c>
      <c r="G246" s="1179">
        <v>0</v>
      </c>
      <c r="H246" s="1180">
        <v>1</v>
      </c>
      <c r="I246" s="1180">
        <v>1</v>
      </c>
      <c r="J246" s="1180">
        <v>0</v>
      </c>
      <c r="K246" s="1180">
        <v>0</v>
      </c>
      <c r="L246" s="1180">
        <v>0</v>
      </c>
      <c r="M246" s="1181">
        <v>0</v>
      </c>
      <c r="N246" s="1181">
        <v>0</v>
      </c>
      <c r="O246" s="488">
        <f t="shared" si="65"/>
        <v>0</v>
      </c>
      <c r="P246" s="1182">
        <f>+O246/$O$452</f>
        <v>0</v>
      </c>
    </row>
    <row r="247" spans="1:16" x14ac:dyDescent="0.25">
      <c r="A247" s="1186" t="s">
        <v>221</v>
      </c>
      <c r="B247" s="1178">
        <v>0</v>
      </c>
      <c r="C247" s="1178">
        <v>0</v>
      </c>
      <c r="D247" s="1178">
        <v>0</v>
      </c>
      <c r="E247" s="1179">
        <v>4</v>
      </c>
      <c r="F247" s="1178">
        <v>0</v>
      </c>
      <c r="G247" s="1179">
        <v>0</v>
      </c>
      <c r="H247" s="1180">
        <v>1</v>
      </c>
      <c r="I247" s="1180">
        <v>1</v>
      </c>
      <c r="J247" s="1180">
        <v>0</v>
      </c>
      <c r="K247" s="1180">
        <v>0</v>
      </c>
      <c r="L247" s="1180">
        <v>0</v>
      </c>
      <c r="M247" s="1181">
        <v>1</v>
      </c>
      <c r="N247" s="1181">
        <v>0</v>
      </c>
      <c r="O247" s="488">
        <f t="shared" si="65"/>
        <v>0.2</v>
      </c>
      <c r="P247" s="1182">
        <f>+O247/$O$452</f>
        <v>3.3478406427854036E-4</v>
      </c>
    </row>
    <row r="248" spans="1:16" x14ac:dyDescent="0.25">
      <c r="A248" s="495" t="s">
        <v>35</v>
      </c>
      <c r="B248" s="471">
        <f>SUM(B40:B247)</f>
        <v>443</v>
      </c>
      <c r="C248" s="471">
        <f>SUM(C40:C247)</f>
        <v>388</v>
      </c>
      <c r="D248" s="471">
        <f>SUM(D40:D247)</f>
        <v>437</v>
      </c>
      <c r="E248" s="663">
        <f>SUM(E245:E247)</f>
        <v>4</v>
      </c>
      <c r="F248" s="663">
        <f>SUM(F245:F247)</f>
        <v>0</v>
      </c>
      <c r="G248" s="663">
        <f t="shared" ref="G248:M248" si="66">SUM(G245:G247)</f>
        <v>0</v>
      </c>
      <c r="H248" s="663">
        <f t="shared" si="66"/>
        <v>2</v>
      </c>
      <c r="I248" s="663">
        <f t="shared" si="66"/>
        <v>2</v>
      </c>
      <c r="J248" s="663">
        <f t="shared" si="66"/>
        <v>0</v>
      </c>
      <c r="K248" s="663">
        <f t="shared" si="66"/>
        <v>2</v>
      </c>
      <c r="L248" s="663">
        <f t="shared" si="66"/>
        <v>0</v>
      </c>
      <c r="M248" s="663">
        <f t="shared" si="66"/>
        <v>2</v>
      </c>
      <c r="N248" s="663">
        <f t="shared" ref="N248" si="67">SUM(N245:N247)</f>
        <v>0</v>
      </c>
      <c r="O248" s="488">
        <f t="shared" si="65"/>
        <v>0.8</v>
      </c>
      <c r="P248" s="494">
        <f>SUM(P245:P247)</f>
        <v>1.3391362571141614E-3</v>
      </c>
    </row>
    <row r="249" spans="1:16" x14ac:dyDescent="0.25">
      <c r="A249" s="492" t="s">
        <v>240</v>
      </c>
      <c r="B249" s="470" t="s">
        <v>853</v>
      </c>
      <c r="C249" s="470" t="s">
        <v>585</v>
      </c>
      <c r="D249" s="470" t="s">
        <v>1307</v>
      </c>
      <c r="E249" s="662" t="s">
        <v>560</v>
      </c>
      <c r="F249" s="470" t="s">
        <v>866</v>
      </c>
      <c r="G249" s="662" t="s">
        <v>620</v>
      </c>
      <c r="H249" s="489" t="s">
        <v>720</v>
      </c>
      <c r="I249" s="487" t="s">
        <v>915</v>
      </c>
      <c r="J249" s="487" t="s">
        <v>1364</v>
      </c>
      <c r="K249" s="487" t="s">
        <v>1385</v>
      </c>
      <c r="L249" s="487" t="s">
        <v>1386</v>
      </c>
      <c r="M249" s="1429" t="s">
        <v>1387</v>
      </c>
      <c r="N249" s="1429" t="s">
        <v>1535</v>
      </c>
      <c r="O249" s="489" t="s">
        <v>30</v>
      </c>
      <c r="P249" s="489" t="s">
        <v>31</v>
      </c>
    </row>
    <row r="250" spans="1:16" x14ac:dyDescent="0.25">
      <c r="A250" s="1186" t="s">
        <v>241</v>
      </c>
      <c r="B250" s="1178">
        <v>0</v>
      </c>
      <c r="C250" s="1178">
        <v>0</v>
      </c>
      <c r="D250" s="1178">
        <v>0</v>
      </c>
      <c r="E250" s="1179">
        <v>1</v>
      </c>
      <c r="F250" s="1178">
        <v>0</v>
      </c>
      <c r="G250" s="1179">
        <v>0</v>
      </c>
      <c r="H250" s="1180">
        <v>0</v>
      </c>
      <c r="I250" s="1180">
        <v>0</v>
      </c>
      <c r="J250" s="1180">
        <v>0</v>
      </c>
      <c r="K250" s="1180">
        <v>0</v>
      </c>
      <c r="L250" s="1180">
        <v>2</v>
      </c>
      <c r="M250" s="1180">
        <v>0</v>
      </c>
      <c r="N250" s="1180">
        <v>0</v>
      </c>
      <c r="O250" s="488">
        <f t="shared" ref="O250:O259" si="68">AVERAGE(J250:N250)</f>
        <v>0.4</v>
      </c>
      <c r="P250" s="1182">
        <f t="shared" ref="P250:P258" si="69">+O250/$O$452</f>
        <v>6.6956812855708072E-4</v>
      </c>
    </row>
    <row r="251" spans="1:16" x14ac:dyDescent="0.25">
      <c r="A251" s="1186" t="s">
        <v>242</v>
      </c>
      <c r="B251" s="1178">
        <v>0</v>
      </c>
      <c r="C251" s="1178">
        <v>1</v>
      </c>
      <c r="D251" s="1178">
        <v>0</v>
      </c>
      <c r="E251" s="1179">
        <v>1</v>
      </c>
      <c r="F251" s="1178">
        <v>1</v>
      </c>
      <c r="G251" s="1179">
        <v>1</v>
      </c>
      <c r="H251" s="1180">
        <v>1</v>
      </c>
      <c r="I251" s="1180">
        <v>1</v>
      </c>
      <c r="J251" s="1180">
        <v>0</v>
      </c>
      <c r="K251" s="1180">
        <v>0</v>
      </c>
      <c r="L251" s="1180">
        <v>0</v>
      </c>
      <c r="M251" s="1180">
        <v>0</v>
      </c>
      <c r="N251" s="1180">
        <v>2</v>
      </c>
      <c r="O251" s="488">
        <f t="shared" si="68"/>
        <v>0.4</v>
      </c>
      <c r="P251" s="1182">
        <f t="shared" si="69"/>
        <v>6.6956812855708072E-4</v>
      </c>
    </row>
    <row r="252" spans="1:16" x14ac:dyDescent="0.25">
      <c r="A252" s="1186" t="s">
        <v>243</v>
      </c>
      <c r="B252" s="1178">
        <v>0</v>
      </c>
      <c r="C252" s="1178">
        <v>1</v>
      </c>
      <c r="D252" s="1178">
        <v>0</v>
      </c>
      <c r="E252" s="1179">
        <v>0</v>
      </c>
      <c r="F252" s="1178">
        <v>0</v>
      </c>
      <c r="G252" s="1179">
        <v>0</v>
      </c>
      <c r="H252" s="1180">
        <v>0</v>
      </c>
      <c r="I252" s="1180">
        <v>0</v>
      </c>
      <c r="J252" s="1180">
        <v>0</v>
      </c>
      <c r="K252" s="1180">
        <v>0</v>
      </c>
      <c r="L252" s="1180">
        <v>0</v>
      </c>
      <c r="M252" s="1180">
        <v>0</v>
      </c>
      <c r="N252" s="1180">
        <v>0</v>
      </c>
      <c r="O252" s="488">
        <f t="shared" si="68"/>
        <v>0</v>
      </c>
      <c r="P252" s="1182">
        <f t="shared" si="69"/>
        <v>0</v>
      </c>
    </row>
    <row r="253" spans="1:16" x14ac:dyDescent="0.25">
      <c r="A253" s="1186" t="s">
        <v>245</v>
      </c>
      <c r="B253" s="1178">
        <v>1</v>
      </c>
      <c r="C253" s="1178">
        <v>0</v>
      </c>
      <c r="D253" s="1178">
        <v>0</v>
      </c>
      <c r="E253" s="1179">
        <v>0</v>
      </c>
      <c r="F253" s="1178">
        <v>0</v>
      </c>
      <c r="G253" s="1179">
        <v>1</v>
      </c>
      <c r="H253" s="1180">
        <v>0</v>
      </c>
      <c r="I253" s="1180">
        <v>1</v>
      </c>
      <c r="J253" s="1180">
        <v>1</v>
      </c>
      <c r="K253" s="1180">
        <v>2</v>
      </c>
      <c r="L253" s="1180">
        <v>1</v>
      </c>
      <c r="M253" s="1181">
        <v>1</v>
      </c>
      <c r="N253" s="1181">
        <v>0</v>
      </c>
      <c r="O253" s="488">
        <f t="shared" si="68"/>
        <v>1</v>
      </c>
      <c r="P253" s="1182">
        <f t="shared" si="69"/>
        <v>1.6739203213927017E-3</v>
      </c>
    </row>
    <row r="254" spans="1:16" x14ac:dyDescent="0.25">
      <c r="A254" s="1186" t="s">
        <v>246</v>
      </c>
      <c r="B254" s="1178">
        <v>0</v>
      </c>
      <c r="C254" s="1178">
        <v>0</v>
      </c>
      <c r="D254" s="1178">
        <v>0</v>
      </c>
      <c r="E254" s="1179">
        <v>0</v>
      </c>
      <c r="F254" s="1178">
        <v>0</v>
      </c>
      <c r="G254" s="1179">
        <v>0</v>
      </c>
      <c r="H254" s="1180">
        <v>0</v>
      </c>
      <c r="I254" s="1180">
        <v>0</v>
      </c>
      <c r="J254" s="1180">
        <v>0</v>
      </c>
      <c r="K254" s="1180">
        <v>0</v>
      </c>
      <c r="L254" s="1180">
        <v>0</v>
      </c>
      <c r="M254" s="1181">
        <v>0</v>
      </c>
      <c r="N254" s="1181">
        <v>0</v>
      </c>
      <c r="O254" s="488">
        <f t="shared" si="68"/>
        <v>0</v>
      </c>
      <c r="P254" s="1182">
        <f t="shared" si="69"/>
        <v>0</v>
      </c>
    </row>
    <row r="255" spans="1:16" x14ac:dyDescent="0.25">
      <c r="A255" s="1186" t="s">
        <v>247</v>
      </c>
      <c r="B255" s="1178">
        <v>3</v>
      </c>
      <c r="C255" s="1178">
        <v>1</v>
      </c>
      <c r="D255" s="1178">
        <v>0</v>
      </c>
      <c r="E255" s="1179">
        <v>0</v>
      </c>
      <c r="F255" s="1178">
        <v>0</v>
      </c>
      <c r="G255" s="1179">
        <v>0</v>
      </c>
      <c r="H255" s="1180">
        <v>0</v>
      </c>
      <c r="I255" s="1180">
        <v>0</v>
      </c>
      <c r="J255" s="1180">
        <v>1</v>
      </c>
      <c r="K255" s="1180">
        <v>3</v>
      </c>
      <c r="L255" s="1180">
        <v>3</v>
      </c>
      <c r="M255" s="1181">
        <v>0</v>
      </c>
      <c r="N255" s="1181">
        <v>0</v>
      </c>
      <c r="O255" s="488">
        <f t="shared" si="68"/>
        <v>1.4</v>
      </c>
      <c r="P255" s="1182">
        <f t="shared" si="69"/>
        <v>2.3434884499497822E-3</v>
      </c>
    </row>
    <row r="256" spans="1:16" x14ac:dyDescent="0.25">
      <c r="A256" s="1186" t="s">
        <v>250</v>
      </c>
      <c r="B256" s="1178">
        <v>0</v>
      </c>
      <c r="C256" s="1178">
        <v>1</v>
      </c>
      <c r="D256" s="1178">
        <v>1</v>
      </c>
      <c r="E256" s="1179">
        <v>0</v>
      </c>
      <c r="F256" s="1178">
        <v>1</v>
      </c>
      <c r="G256" s="1179">
        <v>0</v>
      </c>
      <c r="H256" s="1180">
        <v>2</v>
      </c>
      <c r="I256" s="1180">
        <v>1</v>
      </c>
      <c r="J256" s="1180">
        <v>2</v>
      </c>
      <c r="K256" s="1180">
        <v>0</v>
      </c>
      <c r="L256" s="1180">
        <v>1</v>
      </c>
      <c r="M256" s="1181">
        <v>1</v>
      </c>
      <c r="N256" s="1181">
        <v>0</v>
      </c>
      <c r="O256" s="488">
        <f t="shared" si="68"/>
        <v>0.8</v>
      </c>
      <c r="P256" s="1182">
        <f t="shared" si="69"/>
        <v>1.3391362571141614E-3</v>
      </c>
    </row>
    <row r="257" spans="1:16" x14ac:dyDescent="0.25">
      <c r="A257" s="1186" t="s">
        <v>251</v>
      </c>
      <c r="B257" s="1178">
        <v>0</v>
      </c>
      <c r="C257" s="1178">
        <v>1</v>
      </c>
      <c r="D257" s="1178">
        <v>0</v>
      </c>
      <c r="E257" s="1179">
        <v>0</v>
      </c>
      <c r="F257" s="1178">
        <v>2</v>
      </c>
      <c r="G257" s="1179">
        <v>0</v>
      </c>
      <c r="H257" s="1180">
        <v>0</v>
      </c>
      <c r="I257" s="1180">
        <v>0</v>
      </c>
      <c r="J257" s="1180">
        <v>0</v>
      </c>
      <c r="K257" s="1180">
        <v>1</v>
      </c>
      <c r="L257" s="1180">
        <v>3</v>
      </c>
      <c r="M257" s="1181">
        <v>0</v>
      </c>
      <c r="N257" s="1181">
        <v>0</v>
      </c>
      <c r="O257" s="488">
        <f t="shared" si="68"/>
        <v>0.8</v>
      </c>
      <c r="P257" s="1182">
        <f t="shared" si="69"/>
        <v>1.3391362571141614E-3</v>
      </c>
    </row>
    <row r="258" spans="1:16" x14ac:dyDescent="0.25">
      <c r="A258" s="1186" t="s">
        <v>252</v>
      </c>
      <c r="B258" s="1178">
        <v>0</v>
      </c>
      <c r="C258" s="1178">
        <v>1</v>
      </c>
      <c r="D258" s="1178">
        <v>0</v>
      </c>
      <c r="E258" s="1179">
        <v>1</v>
      </c>
      <c r="F258" s="1178">
        <v>1</v>
      </c>
      <c r="G258" s="1179">
        <v>3</v>
      </c>
      <c r="H258" s="1180">
        <v>0</v>
      </c>
      <c r="I258" s="1180">
        <v>0</v>
      </c>
      <c r="J258" s="1180">
        <v>0</v>
      </c>
      <c r="K258" s="1180">
        <v>1</v>
      </c>
      <c r="L258" s="1180">
        <v>1</v>
      </c>
      <c r="M258" s="1181">
        <v>1</v>
      </c>
      <c r="N258" s="1181">
        <v>0</v>
      </c>
      <c r="O258" s="488">
        <f t="shared" si="68"/>
        <v>0.6</v>
      </c>
      <c r="P258" s="1182">
        <f t="shared" si="69"/>
        <v>1.004352192835621E-3</v>
      </c>
    </row>
    <row r="259" spans="1:16" x14ac:dyDescent="0.25">
      <c r="A259" s="495" t="s">
        <v>35</v>
      </c>
      <c r="B259" s="471">
        <f t="shared" ref="B259:J259" si="70">SUM(B250:B258)</f>
        <v>4</v>
      </c>
      <c r="C259" s="471">
        <f t="shared" si="70"/>
        <v>6</v>
      </c>
      <c r="D259" s="471">
        <f t="shared" si="70"/>
        <v>1</v>
      </c>
      <c r="E259" s="663">
        <f t="shared" si="70"/>
        <v>3</v>
      </c>
      <c r="F259" s="471">
        <f t="shared" si="70"/>
        <v>5</v>
      </c>
      <c r="G259" s="663">
        <f t="shared" si="70"/>
        <v>5</v>
      </c>
      <c r="H259" s="488">
        <f t="shared" si="70"/>
        <v>3</v>
      </c>
      <c r="I259" s="488">
        <f t="shared" si="70"/>
        <v>3</v>
      </c>
      <c r="J259" s="488">
        <f t="shared" si="70"/>
        <v>4</v>
      </c>
      <c r="K259" s="488">
        <f>SUM(K250:K258)</f>
        <v>7</v>
      </c>
      <c r="L259" s="488">
        <f>SUM(L250:L258)</f>
        <v>11</v>
      </c>
      <c r="M259" s="488">
        <f>SUM(M250:M258)</f>
        <v>3</v>
      </c>
      <c r="N259" s="488">
        <f>SUM(N250:N258)</f>
        <v>2</v>
      </c>
      <c r="O259" s="488">
        <f t="shared" si="68"/>
        <v>5.4</v>
      </c>
      <c r="P259" s="494">
        <f>SUM(P250:P258)</f>
        <v>9.0391697355205886E-3</v>
      </c>
    </row>
    <row r="260" spans="1:16" x14ac:dyDescent="0.25">
      <c r="A260" s="492" t="s">
        <v>253</v>
      </c>
      <c r="B260" s="470" t="s">
        <v>853</v>
      </c>
      <c r="C260" s="470" t="s">
        <v>585</v>
      </c>
      <c r="D260" s="470" t="s">
        <v>1307</v>
      </c>
      <c r="E260" s="662" t="s">
        <v>560</v>
      </c>
      <c r="F260" s="470" t="s">
        <v>866</v>
      </c>
      <c r="G260" s="662" t="s">
        <v>620</v>
      </c>
      <c r="H260" s="489" t="s">
        <v>720</v>
      </c>
      <c r="I260" s="487" t="s">
        <v>915</v>
      </c>
      <c r="J260" s="487" t="s">
        <v>1364</v>
      </c>
      <c r="K260" s="487" t="s">
        <v>1385</v>
      </c>
      <c r="L260" s="487" t="s">
        <v>1386</v>
      </c>
      <c r="M260" s="1429" t="s">
        <v>1387</v>
      </c>
      <c r="N260" s="1429" t="s">
        <v>1535</v>
      </c>
      <c r="O260" s="489" t="s">
        <v>30</v>
      </c>
      <c r="P260" s="489" t="s">
        <v>31</v>
      </c>
    </row>
    <row r="261" spans="1:16" x14ac:dyDescent="0.25">
      <c r="A261" s="469" t="s">
        <v>1425</v>
      </c>
      <c r="B261" s="1178">
        <v>0</v>
      </c>
      <c r="C261" s="1178">
        <v>0</v>
      </c>
      <c r="D261" s="1178">
        <v>0</v>
      </c>
      <c r="E261" s="1179">
        <v>0</v>
      </c>
      <c r="F261" s="1178">
        <v>0</v>
      </c>
      <c r="G261" s="1179">
        <v>0</v>
      </c>
      <c r="H261" s="1180">
        <v>0</v>
      </c>
      <c r="I261" s="1180">
        <v>0</v>
      </c>
      <c r="J261" s="1180">
        <v>0</v>
      </c>
      <c r="K261" s="1180">
        <v>0</v>
      </c>
      <c r="L261" s="1180">
        <v>0</v>
      </c>
      <c r="M261" s="1181">
        <v>1</v>
      </c>
      <c r="N261" s="1181">
        <v>0</v>
      </c>
      <c r="O261" s="488">
        <f t="shared" ref="O261:O265" si="71">AVERAGE(J261:N261)</f>
        <v>0.2</v>
      </c>
      <c r="P261" s="1182">
        <f>+O261/$O$452</f>
        <v>3.3478406427854036E-4</v>
      </c>
    </row>
    <row r="262" spans="1:16" x14ac:dyDescent="0.25">
      <c r="A262" s="1186" t="s">
        <v>254</v>
      </c>
      <c r="B262" s="1178">
        <v>0</v>
      </c>
      <c r="C262" s="1178">
        <v>0</v>
      </c>
      <c r="D262" s="1178">
        <v>0</v>
      </c>
      <c r="E262" s="1179">
        <v>0</v>
      </c>
      <c r="F262" s="1178">
        <v>0</v>
      </c>
      <c r="G262" s="1179">
        <v>0</v>
      </c>
      <c r="H262" s="1180">
        <v>0</v>
      </c>
      <c r="I262" s="1180">
        <v>0</v>
      </c>
      <c r="J262" s="1180">
        <v>0</v>
      </c>
      <c r="K262" s="1180">
        <v>0</v>
      </c>
      <c r="L262" s="1180">
        <v>0</v>
      </c>
      <c r="M262" s="1181">
        <v>0</v>
      </c>
      <c r="N262" s="1181">
        <v>0</v>
      </c>
      <c r="O262" s="488">
        <f t="shared" si="71"/>
        <v>0</v>
      </c>
      <c r="P262" s="1182">
        <f>+O262/$O$452</f>
        <v>0</v>
      </c>
    </row>
    <row r="263" spans="1:16" x14ac:dyDescent="0.25">
      <c r="A263" s="469" t="s">
        <v>1426</v>
      </c>
      <c r="B263" s="1178"/>
      <c r="C263" s="1178"/>
      <c r="D263" s="1178"/>
      <c r="E263" s="1179">
        <v>0</v>
      </c>
      <c r="F263" s="1178">
        <v>0</v>
      </c>
      <c r="G263" s="1179">
        <v>0</v>
      </c>
      <c r="H263" s="1180">
        <v>0</v>
      </c>
      <c r="I263" s="1180">
        <v>0</v>
      </c>
      <c r="J263" s="1180">
        <v>1</v>
      </c>
      <c r="K263" s="1180">
        <v>0</v>
      </c>
      <c r="L263" s="1180">
        <v>0</v>
      </c>
      <c r="M263" s="1181">
        <v>2</v>
      </c>
      <c r="N263" s="1181">
        <v>1</v>
      </c>
      <c r="O263" s="488">
        <f t="shared" si="71"/>
        <v>0.8</v>
      </c>
      <c r="P263" s="1182">
        <f>+O263/$O$452</f>
        <v>1.3391362571141614E-3</v>
      </c>
    </row>
    <row r="264" spans="1:16" x14ac:dyDescent="0.25">
      <c r="A264" s="1186" t="s">
        <v>255</v>
      </c>
      <c r="B264" s="1178">
        <v>0</v>
      </c>
      <c r="C264" s="1178">
        <v>0</v>
      </c>
      <c r="D264" s="1178">
        <v>0</v>
      </c>
      <c r="E264" s="1179">
        <v>1</v>
      </c>
      <c r="F264" s="1178">
        <v>0</v>
      </c>
      <c r="G264" s="1179">
        <v>0</v>
      </c>
      <c r="H264" s="1180">
        <v>0</v>
      </c>
      <c r="I264" s="1180">
        <v>0</v>
      </c>
      <c r="J264" s="1180">
        <v>0</v>
      </c>
      <c r="K264" s="1180">
        <v>0</v>
      </c>
      <c r="L264" s="1180">
        <v>1</v>
      </c>
      <c r="M264" s="1181">
        <v>0</v>
      </c>
      <c r="N264" s="1181">
        <v>0</v>
      </c>
      <c r="O264" s="488">
        <f t="shared" si="71"/>
        <v>0.2</v>
      </c>
      <c r="P264" s="1182">
        <f>+O264/$O$452</f>
        <v>3.3478406427854036E-4</v>
      </c>
    </row>
    <row r="265" spans="1:16" x14ac:dyDescent="0.25">
      <c r="A265" s="495" t="s">
        <v>35</v>
      </c>
      <c r="B265" s="471">
        <f t="shared" ref="B265:J265" si="72">SUM(B261:B264)</f>
        <v>0</v>
      </c>
      <c r="C265" s="471">
        <f t="shared" si="72"/>
        <v>0</v>
      </c>
      <c r="D265" s="471">
        <f t="shared" si="72"/>
        <v>0</v>
      </c>
      <c r="E265" s="663">
        <f t="shared" si="72"/>
        <v>1</v>
      </c>
      <c r="F265" s="471">
        <f t="shared" si="72"/>
        <v>0</v>
      </c>
      <c r="G265" s="663">
        <f t="shared" si="72"/>
        <v>0</v>
      </c>
      <c r="H265" s="488">
        <f t="shared" si="72"/>
        <v>0</v>
      </c>
      <c r="I265" s="488">
        <f t="shared" si="72"/>
        <v>0</v>
      </c>
      <c r="J265" s="488">
        <f t="shared" si="72"/>
        <v>1</v>
      </c>
      <c r="K265" s="488">
        <f>SUM(K261:K264)</f>
        <v>0</v>
      </c>
      <c r="L265" s="488">
        <f>SUM(L261:L264)</f>
        <v>1</v>
      </c>
      <c r="M265" s="488">
        <f>SUM(M261:M264)</f>
        <v>3</v>
      </c>
      <c r="N265" s="488">
        <f>SUM(N261:N264)</f>
        <v>1</v>
      </c>
      <c r="O265" s="488">
        <f t="shared" si="71"/>
        <v>1.2</v>
      </c>
      <c r="P265" s="494">
        <f>SUM(P261:P264)</f>
        <v>2.0087043856712419E-3</v>
      </c>
    </row>
    <row r="266" spans="1:16" x14ac:dyDescent="0.25">
      <c r="A266" s="492" t="s">
        <v>256</v>
      </c>
      <c r="B266" s="470" t="s">
        <v>853</v>
      </c>
      <c r="C266" s="470" t="s">
        <v>585</v>
      </c>
      <c r="D266" s="470" t="s">
        <v>1307</v>
      </c>
      <c r="E266" s="662" t="s">
        <v>560</v>
      </c>
      <c r="F266" s="470" t="s">
        <v>866</v>
      </c>
      <c r="G266" s="662" t="s">
        <v>620</v>
      </c>
      <c r="H266" s="489" t="s">
        <v>720</v>
      </c>
      <c r="I266" s="487" t="s">
        <v>915</v>
      </c>
      <c r="J266" s="487" t="s">
        <v>1364</v>
      </c>
      <c r="K266" s="487" t="s">
        <v>1385</v>
      </c>
      <c r="L266" s="487" t="s">
        <v>1386</v>
      </c>
      <c r="M266" s="1429" t="s">
        <v>1387</v>
      </c>
      <c r="N266" s="1429" t="s">
        <v>1535</v>
      </c>
      <c r="O266" s="489" t="s">
        <v>30</v>
      </c>
      <c r="P266" s="489" t="s">
        <v>31</v>
      </c>
    </row>
    <row r="267" spans="1:16" x14ac:dyDescent="0.25">
      <c r="A267" s="1186" t="s">
        <v>257</v>
      </c>
      <c r="B267" s="1178">
        <v>0</v>
      </c>
      <c r="C267" s="1178">
        <v>0</v>
      </c>
      <c r="D267" s="1178">
        <v>0</v>
      </c>
      <c r="E267" s="1179">
        <v>0</v>
      </c>
      <c r="F267" s="1178">
        <v>0</v>
      </c>
      <c r="G267" s="1179">
        <v>0</v>
      </c>
      <c r="H267" s="1180">
        <v>0</v>
      </c>
      <c r="I267" s="1180">
        <v>0</v>
      </c>
      <c r="J267" s="1180">
        <v>0</v>
      </c>
      <c r="K267" s="1180">
        <v>2</v>
      </c>
      <c r="L267" s="1180">
        <v>0</v>
      </c>
      <c r="M267" s="1180">
        <v>0</v>
      </c>
      <c r="N267" s="1180">
        <v>0</v>
      </c>
      <c r="O267" s="488">
        <f t="shared" ref="O267:O272" si="73">AVERAGE(J267:N267)</f>
        <v>0.4</v>
      </c>
      <c r="P267" s="1182">
        <f>+O267/$O$452</f>
        <v>6.6956812855708072E-4</v>
      </c>
    </row>
    <row r="268" spans="1:16" x14ac:dyDescent="0.25">
      <c r="A268" s="1186" t="s">
        <v>260</v>
      </c>
      <c r="B268" s="1178">
        <v>6</v>
      </c>
      <c r="C268" s="1178">
        <v>2</v>
      </c>
      <c r="D268" s="1178">
        <v>1</v>
      </c>
      <c r="E268" s="1179">
        <v>4</v>
      </c>
      <c r="F268" s="1178">
        <v>2</v>
      </c>
      <c r="G268" s="1179">
        <v>2</v>
      </c>
      <c r="H268" s="1180">
        <v>0</v>
      </c>
      <c r="I268" s="1180">
        <v>0</v>
      </c>
      <c r="J268" s="1180">
        <v>1</v>
      </c>
      <c r="K268" s="1180">
        <v>2</v>
      </c>
      <c r="L268" s="1180">
        <v>4</v>
      </c>
      <c r="M268" s="1181">
        <v>4</v>
      </c>
      <c r="N268" s="1181">
        <v>2</v>
      </c>
      <c r="O268" s="488">
        <f t="shared" si="73"/>
        <v>2.6</v>
      </c>
      <c r="P268" s="1182">
        <f>+O268/$O$452</f>
        <v>4.352192835621025E-3</v>
      </c>
    </row>
    <row r="269" spans="1:16" x14ac:dyDescent="0.25">
      <c r="A269" s="1186" t="s">
        <v>261</v>
      </c>
      <c r="B269" s="1178">
        <v>0</v>
      </c>
      <c r="C269" s="1178">
        <v>0</v>
      </c>
      <c r="D269" s="1178">
        <v>1</v>
      </c>
      <c r="E269" s="1179">
        <v>0</v>
      </c>
      <c r="F269" s="1178">
        <v>0</v>
      </c>
      <c r="G269" s="1179">
        <v>0</v>
      </c>
      <c r="H269" s="1180">
        <v>2</v>
      </c>
      <c r="I269" s="1180">
        <v>0</v>
      </c>
      <c r="J269" s="1180">
        <v>0</v>
      </c>
      <c r="K269" s="1180">
        <v>0</v>
      </c>
      <c r="L269" s="1180">
        <v>0</v>
      </c>
      <c r="M269" s="1181">
        <v>0</v>
      </c>
      <c r="N269" s="1181">
        <v>1</v>
      </c>
      <c r="O269" s="488">
        <f t="shared" si="73"/>
        <v>0.2</v>
      </c>
      <c r="P269" s="1182">
        <f>+O269/$O$452</f>
        <v>3.3478406427854036E-4</v>
      </c>
    </row>
    <row r="270" spans="1:16" x14ac:dyDescent="0.25">
      <c r="A270" s="1186" t="s">
        <v>265</v>
      </c>
      <c r="B270" s="1178">
        <v>2</v>
      </c>
      <c r="C270" s="1178">
        <v>4</v>
      </c>
      <c r="D270" s="1178">
        <v>5</v>
      </c>
      <c r="E270" s="1179">
        <v>2</v>
      </c>
      <c r="F270" s="1178">
        <v>3</v>
      </c>
      <c r="G270" s="1179">
        <v>3</v>
      </c>
      <c r="H270" s="1180">
        <v>4</v>
      </c>
      <c r="I270" s="1180">
        <v>3</v>
      </c>
      <c r="J270" s="1180">
        <v>4</v>
      </c>
      <c r="K270" s="1180">
        <v>2</v>
      </c>
      <c r="L270" s="1180">
        <v>6</v>
      </c>
      <c r="M270" s="1181">
        <v>4</v>
      </c>
      <c r="N270" s="1181">
        <v>3</v>
      </c>
      <c r="O270" s="488">
        <f t="shared" si="73"/>
        <v>3.8</v>
      </c>
      <c r="P270" s="1182">
        <f>+O270/$O$452</f>
        <v>6.3608972212922665E-3</v>
      </c>
    </row>
    <row r="271" spans="1:16" x14ac:dyDescent="0.25">
      <c r="A271" s="1186" t="s">
        <v>266</v>
      </c>
      <c r="B271" s="1178">
        <v>0</v>
      </c>
      <c r="C271" s="1178">
        <v>0</v>
      </c>
      <c r="D271" s="1178">
        <v>2</v>
      </c>
      <c r="E271" s="1179">
        <v>2</v>
      </c>
      <c r="F271" s="1178">
        <v>1</v>
      </c>
      <c r="G271" s="1179">
        <v>0</v>
      </c>
      <c r="H271" s="1180">
        <v>0</v>
      </c>
      <c r="I271" s="1180">
        <v>0</v>
      </c>
      <c r="J271" s="1180">
        <v>0</v>
      </c>
      <c r="K271" s="1180">
        <v>0</v>
      </c>
      <c r="L271" s="1180">
        <v>1</v>
      </c>
      <c r="M271" s="1181">
        <v>4</v>
      </c>
      <c r="N271" s="1181">
        <v>0</v>
      </c>
      <c r="O271" s="488">
        <f t="shared" si="73"/>
        <v>1</v>
      </c>
      <c r="P271" s="1182">
        <f>+O271/$O$452</f>
        <v>1.6739203213927017E-3</v>
      </c>
    </row>
    <row r="272" spans="1:16" x14ac:dyDescent="0.25">
      <c r="A272" s="495" t="s">
        <v>35</v>
      </c>
      <c r="B272" s="471">
        <f t="shared" ref="B272:J272" si="74">SUM(B267:B271)</f>
        <v>8</v>
      </c>
      <c r="C272" s="471">
        <f t="shared" si="74"/>
        <v>6</v>
      </c>
      <c r="D272" s="471">
        <f t="shared" si="74"/>
        <v>9</v>
      </c>
      <c r="E272" s="663">
        <f t="shared" si="74"/>
        <v>8</v>
      </c>
      <c r="F272" s="471">
        <f t="shared" si="74"/>
        <v>6</v>
      </c>
      <c r="G272" s="663">
        <f t="shared" si="74"/>
        <v>5</v>
      </c>
      <c r="H272" s="488">
        <f t="shared" si="74"/>
        <v>6</v>
      </c>
      <c r="I272" s="488">
        <f t="shared" si="74"/>
        <v>3</v>
      </c>
      <c r="J272" s="488">
        <f t="shared" si="74"/>
        <v>5</v>
      </c>
      <c r="K272" s="488">
        <f>SUM(K267:K271)</f>
        <v>6</v>
      </c>
      <c r="L272" s="488">
        <f>SUM(L267:L271)</f>
        <v>11</v>
      </c>
      <c r="M272" s="488">
        <f>SUM(M267:M271)</f>
        <v>12</v>
      </c>
      <c r="N272" s="488">
        <f>SUM(N267:N271)</f>
        <v>6</v>
      </c>
      <c r="O272" s="488">
        <f t="shared" si="73"/>
        <v>8</v>
      </c>
      <c r="P272" s="494">
        <f>SUM(P267:P271)</f>
        <v>1.3391362571141614E-2</v>
      </c>
    </row>
    <row r="273" spans="1:16" x14ac:dyDescent="0.25">
      <c r="A273" s="492" t="s">
        <v>267</v>
      </c>
      <c r="B273" s="470" t="s">
        <v>853</v>
      </c>
      <c r="C273" s="470" t="s">
        <v>585</v>
      </c>
      <c r="D273" s="470" t="s">
        <v>1307</v>
      </c>
      <c r="E273" s="662" t="s">
        <v>560</v>
      </c>
      <c r="F273" s="470" t="s">
        <v>866</v>
      </c>
      <c r="G273" s="662" t="s">
        <v>620</v>
      </c>
      <c r="H273" s="489" t="s">
        <v>720</v>
      </c>
      <c r="I273" s="487" t="s">
        <v>915</v>
      </c>
      <c r="J273" s="487" t="s">
        <v>1364</v>
      </c>
      <c r="K273" s="487" t="s">
        <v>1385</v>
      </c>
      <c r="L273" s="487" t="s">
        <v>1386</v>
      </c>
      <c r="M273" s="1429" t="s">
        <v>1387</v>
      </c>
      <c r="N273" s="1429" t="s">
        <v>1535</v>
      </c>
      <c r="O273" s="489" t="s">
        <v>30</v>
      </c>
      <c r="P273" s="489" t="s">
        <v>31</v>
      </c>
    </row>
    <row r="274" spans="1:16" x14ac:dyDescent="0.25">
      <c r="A274" s="1186" t="s">
        <v>268</v>
      </c>
      <c r="B274" s="1178">
        <v>1</v>
      </c>
      <c r="C274" s="1178">
        <v>0</v>
      </c>
      <c r="D274" s="1178">
        <v>0</v>
      </c>
      <c r="E274" s="1179">
        <v>2</v>
      </c>
      <c r="F274" s="1178">
        <v>0</v>
      </c>
      <c r="G274" s="1179">
        <v>0</v>
      </c>
      <c r="H274" s="1180">
        <v>0</v>
      </c>
      <c r="I274" s="1180">
        <v>1</v>
      </c>
      <c r="J274" s="1180">
        <v>2</v>
      </c>
      <c r="K274" s="1180">
        <v>0</v>
      </c>
      <c r="L274" s="1180">
        <v>0</v>
      </c>
      <c r="M274" s="1181">
        <v>1</v>
      </c>
      <c r="N274" s="1181">
        <v>3</v>
      </c>
      <c r="O274" s="488">
        <f t="shared" ref="O274:O278" si="75">AVERAGE(J274:N274)</f>
        <v>1.2</v>
      </c>
      <c r="P274" s="1182">
        <f>+O274/$O$452</f>
        <v>2.0087043856712419E-3</v>
      </c>
    </row>
    <row r="275" spans="1:16" x14ac:dyDescent="0.25">
      <c r="A275" s="1186" t="s">
        <v>269</v>
      </c>
      <c r="B275" s="1178">
        <v>0</v>
      </c>
      <c r="C275" s="1178">
        <v>0</v>
      </c>
      <c r="D275" s="1178">
        <v>0</v>
      </c>
      <c r="E275" s="1179">
        <v>0</v>
      </c>
      <c r="F275" s="1178">
        <v>0</v>
      </c>
      <c r="G275" s="1179">
        <v>0</v>
      </c>
      <c r="H275" s="1180">
        <v>1</v>
      </c>
      <c r="I275" s="1180">
        <v>1</v>
      </c>
      <c r="J275" s="1180">
        <v>0</v>
      </c>
      <c r="K275" s="1180">
        <v>0</v>
      </c>
      <c r="L275" s="1180">
        <v>0</v>
      </c>
      <c r="M275" s="1181">
        <v>2</v>
      </c>
      <c r="N275" s="1181">
        <v>1</v>
      </c>
      <c r="O275" s="488">
        <f t="shared" si="75"/>
        <v>0.6</v>
      </c>
      <c r="P275" s="1182">
        <f>+O275/$O$452</f>
        <v>1.004352192835621E-3</v>
      </c>
    </row>
    <row r="276" spans="1:16" x14ac:dyDescent="0.25">
      <c r="A276" s="1186" t="s">
        <v>270</v>
      </c>
      <c r="B276" s="1178">
        <v>5</v>
      </c>
      <c r="C276" s="1178">
        <v>1</v>
      </c>
      <c r="D276" s="1178">
        <v>2</v>
      </c>
      <c r="E276" s="1179">
        <v>2</v>
      </c>
      <c r="F276" s="1178">
        <v>0</v>
      </c>
      <c r="G276" s="1179">
        <v>0</v>
      </c>
      <c r="H276" s="1180">
        <v>2</v>
      </c>
      <c r="I276" s="1180">
        <v>1</v>
      </c>
      <c r="J276" s="1180">
        <v>0</v>
      </c>
      <c r="K276" s="1180">
        <v>2</v>
      </c>
      <c r="L276" s="1180">
        <v>1</v>
      </c>
      <c r="M276" s="1181">
        <v>0</v>
      </c>
      <c r="N276" s="1181">
        <v>1</v>
      </c>
      <c r="O276" s="488">
        <f t="shared" si="75"/>
        <v>0.8</v>
      </c>
      <c r="P276" s="1182">
        <f>+O276/$O$452</f>
        <v>1.3391362571141614E-3</v>
      </c>
    </row>
    <row r="277" spans="1:16" x14ac:dyDescent="0.25">
      <c r="A277" s="1186" t="s">
        <v>271</v>
      </c>
      <c r="B277" s="1178">
        <v>1</v>
      </c>
      <c r="C277" s="1178">
        <v>0</v>
      </c>
      <c r="D277" s="1178">
        <v>0</v>
      </c>
      <c r="E277" s="1179">
        <v>0</v>
      </c>
      <c r="F277" s="1178">
        <v>0</v>
      </c>
      <c r="G277" s="1179">
        <v>0</v>
      </c>
      <c r="H277" s="1180">
        <v>0</v>
      </c>
      <c r="I277" s="1180">
        <v>1</v>
      </c>
      <c r="J277" s="1180">
        <v>0</v>
      </c>
      <c r="K277" s="1180">
        <v>1</v>
      </c>
      <c r="L277" s="1180">
        <v>1</v>
      </c>
      <c r="M277" s="1181">
        <v>3</v>
      </c>
      <c r="N277" s="1181">
        <v>0</v>
      </c>
      <c r="O277" s="488">
        <f t="shared" si="75"/>
        <v>1</v>
      </c>
      <c r="P277" s="1182">
        <f>+O277/$O$452</f>
        <v>1.6739203213927017E-3</v>
      </c>
    </row>
    <row r="278" spans="1:16" x14ac:dyDescent="0.25">
      <c r="A278" s="495" t="s">
        <v>35</v>
      </c>
      <c r="B278" s="471">
        <f t="shared" ref="B278:M278" si="76">SUM(B274:B277)</f>
        <v>7</v>
      </c>
      <c r="C278" s="471">
        <f t="shared" si="76"/>
        <v>1</v>
      </c>
      <c r="D278" s="471">
        <f t="shared" si="76"/>
        <v>2</v>
      </c>
      <c r="E278" s="663">
        <f t="shared" si="76"/>
        <v>4</v>
      </c>
      <c r="F278" s="471">
        <f t="shared" si="76"/>
        <v>0</v>
      </c>
      <c r="G278" s="663">
        <f t="shared" si="76"/>
        <v>0</v>
      </c>
      <c r="H278" s="488">
        <f t="shared" si="76"/>
        <v>3</v>
      </c>
      <c r="I278" s="488">
        <f t="shared" si="76"/>
        <v>4</v>
      </c>
      <c r="J278" s="488">
        <f t="shared" si="76"/>
        <v>2</v>
      </c>
      <c r="K278" s="488">
        <f t="shared" si="76"/>
        <v>3</v>
      </c>
      <c r="L278" s="488">
        <f t="shared" si="76"/>
        <v>2</v>
      </c>
      <c r="M278" s="488">
        <f t="shared" si="76"/>
        <v>6</v>
      </c>
      <c r="N278" s="488">
        <f t="shared" ref="N278" si="77">SUM(N274:N277)</f>
        <v>5</v>
      </c>
      <c r="O278" s="488">
        <f t="shared" si="75"/>
        <v>3.6</v>
      </c>
      <c r="P278" s="494">
        <f>SUM(P274:P277)</f>
        <v>6.0261131570137263E-3</v>
      </c>
    </row>
    <row r="279" spans="1:16" x14ac:dyDescent="0.25">
      <c r="A279" s="492" t="s">
        <v>272</v>
      </c>
      <c r="B279" s="470" t="s">
        <v>853</v>
      </c>
      <c r="C279" s="470" t="s">
        <v>585</v>
      </c>
      <c r="D279" s="470" t="s">
        <v>1307</v>
      </c>
      <c r="E279" s="662" t="s">
        <v>560</v>
      </c>
      <c r="F279" s="470" t="s">
        <v>866</v>
      </c>
      <c r="G279" s="662" t="s">
        <v>620</v>
      </c>
      <c r="H279" s="489" t="s">
        <v>720</v>
      </c>
      <c r="I279" s="487" t="s">
        <v>915</v>
      </c>
      <c r="J279" s="487" t="s">
        <v>1364</v>
      </c>
      <c r="K279" s="487" t="s">
        <v>1385</v>
      </c>
      <c r="L279" s="487" t="s">
        <v>1386</v>
      </c>
      <c r="M279" s="1429" t="s">
        <v>1387</v>
      </c>
      <c r="N279" s="1429" t="s">
        <v>1535</v>
      </c>
      <c r="O279" s="489" t="s">
        <v>30</v>
      </c>
      <c r="P279" s="489" t="s">
        <v>31</v>
      </c>
    </row>
    <row r="280" spans="1:16" x14ac:dyDescent="0.25">
      <c r="A280" s="1186" t="s">
        <v>273</v>
      </c>
      <c r="B280" s="1178">
        <v>11</v>
      </c>
      <c r="C280" s="1178">
        <v>12</v>
      </c>
      <c r="D280" s="1178">
        <v>9</v>
      </c>
      <c r="E280" s="1179">
        <v>2</v>
      </c>
      <c r="F280" s="1178">
        <v>7</v>
      </c>
      <c r="G280" s="1179">
        <v>8</v>
      </c>
      <c r="H280" s="1180">
        <v>10</v>
      </c>
      <c r="I280" s="1180">
        <v>8</v>
      </c>
      <c r="J280" s="1180">
        <v>13</v>
      </c>
      <c r="K280" s="1180">
        <v>10</v>
      </c>
      <c r="L280" s="1180">
        <v>6</v>
      </c>
      <c r="M280" s="1181">
        <v>18</v>
      </c>
      <c r="N280" s="1181">
        <v>10</v>
      </c>
      <c r="O280" s="488">
        <f t="shared" ref="O280:O284" si="78">AVERAGE(J280:N280)</f>
        <v>11.4</v>
      </c>
      <c r="P280" s="1182">
        <f>+O280/$O$452</f>
        <v>1.90826916638768E-2</v>
      </c>
    </row>
    <row r="281" spans="1:16" x14ac:dyDescent="0.25">
      <c r="A281" s="1186" t="s">
        <v>1112</v>
      </c>
      <c r="B281" s="1178">
        <v>0</v>
      </c>
      <c r="C281" s="1178">
        <v>0</v>
      </c>
      <c r="D281" s="1178">
        <v>0</v>
      </c>
      <c r="E281" s="1179">
        <v>2</v>
      </c>
      <c r="F281" s="1178">
        <v>7</v>
      </c>
      <c r="G281" s="1179">
        <v>3</v>
      </c>
      <c r="H281" s="1180">
        <v>0</v>
      </c>
      <c r="I281" s="1180">
        <v>0</v>
      </c>
      <c r="J281" s="1180">
        <v>0</v>
      </c>
      <c r="K281" s="1180">
        <v>0</v>
      </c>
      <c r="L281" s="1180">
        <v>0</v>
      </c>
      <c r="M281" s="1181">
        <v>2</v>
      </c>
      <c r="N281" s="1181">
        <v>0</v>
      </c>
      <c r="O281" s="488">
        <f t="shared" si="78"/>
        <v>0.4</v>
      </c>
      <c r="P281" s="1182">
        <f>+O281/$O$452</f>
        <v>6.6956812855708072E-4</v>
      </c>
    </row>
    <row r="282" spans="1:16" x14ac:dyDescent="0.25">
      <c r="A282" s="1186" t="s">
        <v>275</v>
      </c>
      <c r="B282" s="1178">
        <v>13</v>
      </c>
      <c r="C282" s="1178">
        <v>8</v>
      </c>
      <c r="D282" s="1178">
        <v>18</v>
      </c>
      <c r="E282" s="1179">
        <v>13</v>
      </c>
      <c r="F282" s="1178">
        <v>19</v>
      </c>
      <c r="G282" s="1179">
        <v>22</v>
      </c>
      <c r="H282" s="1180">
        <v>14</v>
      </c>
      <c r="I282" s="1180">
        <v>16</v>
      </c>
      <c r="J282" s="1180">
        <v>19</v>
      </c>
      <c r="K282" s="1180">
        <v>9</v>
      </c>
      <c r="L282" s="1180">
        <v>26</v>
      </c>
      <c r="M282" s="1181">
        <v>14</v>
      </c>
      <c r="N282" s="1181">
        <v>19</v>
      </c>
      <c r="O282" s="488">
        <f t="shared" si="78"/>
        <v>17.399999999999999</v>
      </c>
      <c r="P282" s="1182">
        <f>+O282/$O$452</f>
        <v>2.9126213592233007E-2</v>
      </c>
    </row>
    <row r="283" spans="1:16" x14ac:dyDescent="0.25">
      <c r="A283" s="1186" t="s">
        <v>276</v>
      </c>
      <c r="B283" s="1178">
        <v>0</v>
      </c>
      <c r="C283" s="1178">
        <v>1</v>
      </c>
      <c r="D283" s="1178">
        <v>2</v>
      </c>
      <c r="E283" s="1179">
        <v>4</v>
      </c>
      <c r="F283" s="1178">
        <v>1</v>
      </c>
      <c r="G283" s="1179">
        <v>0</v>
      </c>
      <c r="H283" s="1180">
        <v>2</v>
      </c>
      <c r="I283" s="1180">
        <v>0</v>
      </c>
      <c r="J283" s="1180">
        <v>0</v>
      </c>
      <c r="K283" s="1180">
        <v>0</v>
      </c>
      <c r="L283" s="1180">
        <v>0</v>
      </c>
      <c r="M283" s="1180">
        <v>0</v>
      </c>
      <c r="N283" s="1180">
        <v>0</v>
      </c>
      <c r="O283" s="488">
        <f t="shared" si="78"/>
        <v>0</v>
      </c>
      <c r="P283" s="1182">
        <f>+O283/$O$452</f>
        <v>0</v>
      </c>
    </row>
    <row r="284" spans="1:16" x14ac:dyDescent="0.25">
      <c r="A284" s="495" t="s">
        <v>35</v>
      </c>
      <c r="B284" s="471">
        <f t="shared" ref="B284:J284" si="79">SUM(B280:B283)</f>
        <v>24</v>
      </c>
      <c r="C284" s="471">
        <f t="shared" si="79"/>
        <v>21</v>
      </c>
      <c r="D284" s="471">
        <f t="shared" si="79"/>
        <v>29</v>
      </c>
      <c r="E284" s="663">
        <f t="shared" si="79"/>
        <v>21</v>
      </c>
      <c r="F284" s="471">
        <f t="shared" si="79"/>
        <v>34</v>
      </c>
      <c r="G284" s="663">
        <f t="shared" si="79"/>
        <v>33</v>
      </c>
      <c r="H284" s="488">
        <f t="shared" si="79"/>
        <v>26</v>
      </c>
      <c r="I284" s="488">
        <f t="shared" si="79"/>
        <v>24</v>
      </c>
      <c r="J284" s="488">
        <f t="shared" si="79"/>
        <v>32</v>
      </c>
      <c r="K284" s="488">
        <f>SUM(K280:K283)</f>
        <v>19</v>
      </c>
      <c r="L284" s="488">
        <f>SUM(L280:L283)</f>
        <v>32</v>
      </c>
      <c r="M284" s="488">
        <f>SUM(M280:M283)</f>
        <v>34</v>
      </c>
      <c r="N284" s="488">
        <f>SUM(N280:N283)</f>
        <v>29</v>
      </c>
      <c r="O284" s="488">
        <f t="shared" si="78"/>
        <v>29.2</v>
      </c>
      <c r="P284" s="494">
        <f>SUM(P280:P283)</f>
        <v>4.8878473384666887E-2</v>
      </c>
    </row>
    <row r="285" spans="1:16" x14ac:dyDescent="0.25">
      <c r="A285" s="492" t="s">
        <v>277</v>
      </c>
      <c r="B285" s="470" t="s">
        <v>853</v>
      </c>
      <c r="C285" s="470" t="s">
        <v>585</v>
      </c>
      <c r="D285" s="470" t="s">
        <v>1307</v>
      </c>
      <c r="E285" s="662" t="s">
        <v>560</v>
      </c>
      <c r="F285" s="470" t="s">
        <v>866</v>
      </c>
      <c r="G285" s="662" t="s">
        <v>620</v>
      </c>
      <c r="H285" s="489" t="s">
        <v>720</v>
      </c>
      <c r="I285" s="487" t="s">
        <v>915</v>
      </c>
      <c r="J285" s="487" t="s">
        <v>1364</v>
      </c>
      <c r="K285" s="487" t="s">
        <v>1385</v>
      </c>
      <c r="L285" s="487" t="s">
        <v>1386</v>
      </c>
      <c r="M285" s="1429" t="s">
        <v>1387</v>
      </c>
      <c r="N285" s="1429" t="s">
        <v>1535</v>
      </c>
      <c r="O285" s="489" t="s">
        <v>30</v>
      </c>
      <c r="P285" s="489" t="s">
        <v>31</v>
      </c>
    </row>
    <row r="286" spans="1:16" x14ac:dyDescent="0.25">
      <c r="A286" s="1192" t="s">
        <v>278</v>
      </c>
      <c r="B286" s="1189">
        <v>0</v>
      </c>
      <c r="C286" s="1189">
        <v>0</v>
      </c>
      <c r="D286" s="1189">
        <v>0</v>
      </c>
      <c r="E286" s="1190">
        <v>0</v>
      </c>
      <c r="F286" s="1189">
        <v>0</v>
      </c>
      <c r="G286" s="1190">
        <v>0</v>
      </c>
      <c r="H286" s="1191">
        <v>0</v>
      </c>
      <c r="I286" s="1191">
        <v>0</v>
      </c>
      <c r="J286" s="1191">
        <v>0</v>
      </c>
      <c r="K286" s="1191">
        <v>0</v>
      </c>
      <c r="L286" s="1191">
        <v>0</v>
      </c>
      <c r="M286" s="1191">
        <v>0</v>
      </c>
      <c r="N286" s="1191">
        <v>0</v>
      </c>
      <c r="O286" s="488">
        <f t="shared" ref="O286:O291" si="80">AVERAGE(J286:N286)</f>
        <v>0</v>
      </c>
      <c r="P286" s="1182">
        <f>+O286/$O$452</f>
        <v>0</v>
      </c>
    </row>
    <row r="287" spans="1:16" x14ac:dyDescent="0.25">
      <c r="A287" s="1192" t="s">
        <v>279</v>
      </c>
      <c r="B287" s="1189">
        <v>0</v>
      </c>
      <c r="C287" s="1189">
        <v>0</v>
      </c>
      <c r="D287" s="1189">
        <v>0</v>
      </c>
      <c r="E287" s="1190">
        <v>0</v>
      </c>
      <c r="F287" s="1189">
        <v>0</v>
      </c>
      <c r="G287" s="1190">
        <v>0</v>
      </c>
      <c r="H287" s="1191">
        <v>0</v>
      </c>
      <c r="I287" s="1191">
        <v>0</v>
      </c>
      <c r="J287" s="1191">
        <v>0</v>
      </c>
      <c r="K287" s="1191">
        <v>0</v>
      </c>
      <c r="L287" s="1191">
        <v>0</v>
      </c>
      <c r="M287" s="1191">
        <v>0</v>
      </c>
      <c r="N287" s="1191">
        <v>0</v>
      </c>
      <c r="O287" s="488">
        <f t="shared" si="80"/>
        <v>0</v>
      </c>
      <c r="P287" s="1182">
        <f>+O287/$O$452</f>
        <v>0</v>
      </c>
    </row>
    <row r="288" spans="1:16" x14ac:dyDescent="0.25">
      <c r="A288" s="1196" t="s">
        <v>1427</v>
      </c>
      <c r="B288" s="1189"/>
      <c r="C288" s="1189"/>
      <c r="D288" s="1189"/>
      <c r="E288" s="1190">
        <v>0</v>
      </c>
      <c r="F288" s="1189">
        <v>0</v>
      </c>
      <c r="G288" s="1190">
        <v>0</v>
      </c>
      <c r="H288" s="1191">
        <v>0</v>
      </c>
      <c r="I288" s="1191">
        <v>0</v>
      </c>
      <c r="J288" s="1191">
        <v>0</v>
      </c>
      <c r="K288" s="1191">
        <v>0</v>
      </c>
      <c r="L288" s="1191">
        <v>2</v>
      </c>
      <c r="M288" s="1181">
        <v>2</v>
      </c>
      <c r="N288" s="1181">
        <v>0</v>
      </c>
      <c r="O288" s="488">
        <f t="shared" si="80"/>
        <v>0.8</v>
      </c>
      <c r="P288" s="1182">
        <f>+O288/$O$452</f>
        <v>1.3391362571141614E-3</v>
      </c>
    </row>
    <row r="289" spans="1:16" x14ac:dyDescent="0.25">
      <c r="A289" s="1186" t="s">
        <v>280</v>
      </c>
      <c r="B289" s="1178">
        <v>0</v>
      </c>
      <c r="C289" s="1178">
        <v>0</v>
      </c>
      <c r="D289" s="1178">
        <v>0</v>
      </c>
      <c r="E289" s="1179">
        <v>0</v>
      </c>
      <c r="F289" s="1178">
        <v>0</v>
      </c>
      <c r="G289" s="1179">
        <v>0</v>
      </c>
      <c r="H289" s="1180">
        <v>0</v>
      </c>
      <c r="I289" s="1180">
        <v>0</v>
      </c>
      <c r="J289" s="1180">
        <v>0</v>
      </c>
      <c r="K289" s="1180">
        <v>0</v>
      </c>
      <c r="L289" s="1180">
        <v>0</v>
      </c>
      <c r="M289" s="1181">
        <v>0</v>
      </c>
      <c r="N289" s="1181">
        <v>0</v>
      </c>
      <c r="O289" s="488">
        <f t="shared" si="80"/>
        <v>0</v>
      </c>
      <c r="P289" s="1182">
        <f>+O289/$O$452</f>
        <v>0</v>
      </c>
    </row>
    <row r="290" spans="1:16" x14ac:dyDescent="0.25">
      <c r="A290" s="1186" t="s">
        <v>281</v>
      </c>
      <c r="B290" s="1178">
        <v>0</v>
      </c>
      <c r="C290" s="1178">
        <v>2</v>
      </c>
      <c r="D290" s="1178">
        <v>2</v>
      </c>
      <c r="E290" s="1179">
        <v>0</v>
      </c>
      <c r="F290" s="1178">
        <v>0</v>
      </c>
      <c r="G290" s="1179">
        <v>0</v>
      </c>
      <c r="H290" s="1180">
        <v>0</v>
      </c>
      <c r="I290" s="1180">
        <v>0</v>
      </c>
      <c r="J290" s="1180">
        <v>0</v>
      </c>
      <c r="K290" s="1180">
        <v>0</v>
      </c>
      <c r="L290" s="1180">
        <v>1</v>
      </c>
      <c r="M290" s="1181">
        <v>1</v>
      </c>
      <c r="N290" s="1181">
        <v>3</v>
      </c>
      <c r="O290" s="488">
        <f t="shared" si="80"/>
        <v>1</v>
      </c>
      <c r="P290" s="1182">
        <f>+O290/$O$452</f>
        <v>1.6739203213927017E-3</v>
      </c>
    </row>
    <row r="291" spans="1:16" x14ac:dyDescent="0.25">
      <c r="A291" s="495" t="s">
        <v>35</v>
      </c>
      <c r="B291" s="471">
        <f t="shared" ref="B291:J291" si="81">SUM(B286:B290)</f>
        <v>0</v>
      </c>
      <c r="C291" s="471">
        <f t="shared" si="81"/>
        <v>2</v>
      </c>
      <c r="D291" s="471">
        <f t="shared" si="81"/>
        <v>2</v>
      </c>
      <c r="E291" s="663">
        <f t="shared" si="81"/>
        <v>0</v>
      </c>
      <c r="F291" s="471">
        <f t="shared" si="81"/>
        <v>0</v>
      </c>
      <c r="G291" s="663">
        <f t="shared" si="81"/>
        <v>0</v>
      </c>
      <c r="H291" s="488">
        <f t="shared" si="81"/>
        <v>0</v>
      </c>
      <c r="I291" s="488">
        <f t="shared" si="81"/>
        <v>0</v>
      </c>
      <c r="J291" s="488">
        <f t="shared" si="81"/>
        <v>0</v>
      </c>
      <c r="K291" s="488">
        <f>SUM(K286:K290)</f>
        <v>0</v>
      </c>
      <c r="L291" s="488">
        <f>SUM(L286:L290)</f>
        <v>3</v>
      </c>
      <c r="M291" s="488">
        <f>SUM(M286:M290)</f>
        <v>3</v>
      </c>
      <c r="N291" s="488">
        <f>SUM(N286:N290)</f>
        <v>3</v>
      </c>
      <c r="O291" s="488">
        <f t="shared" si="80"/>
        <v>1.8</v>
      </c>
      <c r="P291" s="494">
        <f>SUM(P286:P290)</f>
        <v>3.0130565785068631E-3</v>
      </c>
    </row>
    <row r="292" spans="1:16" x14ac:dyDescent="0.25">
      <c r="A292" s="492" t="s">
        <v>282</v>
      </c>
      <c r="B292" s="470" t="s">
        <v>853</v>
      </c>
      <c r="C292" s="470" t="s">
        <v>585</v>
      </c>
      <c r="D292" s="470" t="s">
        <v>1307</v>
      </c>
      <c r="E292" s="662" t="s">
        <v>560</v>
      </c>
      <c r="F292" s="470" t="s">
        <v>866</v>
      </c>
      <c r="G292" s="662" t="s">
        <v>620</v>
      </c>
      <c r="H292" s="489" t="s">
        <v>720</v>
      </c>
      <c r="I292" s="487" t="s">
        <v>915</v>
      </c>
      <c r="J292" s="487" t="s">
        <v>1364</v>
      </c>
      <c r="K292" s="487" t="s">
        <v>1385</v>
      </c>
      <c r="L292" s="487" t="s">
        <v>1386</v>
      </c>
      <c r="M292" s="1429" t="s">
        <v>1387</v>
      </c>
      <c r="N292" s="1429" t="s">
        <v>1535</v>
      </c>
      <c r="O292" s="489" t="s">
        <v>30</v>
      </c>
      <c r="P292" s="489" t="s">
        <v>31</v>
      </c>
    </row>
    <row r="293" spans="1:16" x14ac:dyDescent="0.25">
      <c r="A293" s="1186" t="s">
        <v>283</v>
      </c>
      <c r="B293" s="1178">
        <v>8</v>
      </c>
      <c r="C293" s="1178">
        <v>1</v>
      </c>
      <c r="D293" s="1178">
        <v>1</v>
      </c>
      <c r="E293" s="1179">
        <v>3</v>
      </c>
      <c r="F293" s="1178">
        <v>0</v>
      </c>
      <c r="G293" s="1179">
        <v>4</v>
      </c>
      <c r="H293" s="1180">
        <v>4</v>
      </c>
      <c r="I293" s="1180">
        <v>1</v>
      </c>
      <c r="J293" s="1180">
        <v>4</v>
      </c>
      <c r="K293" s="1180">
        <v>3</v>
      </c>
      <c r="L293" s="1180">
        <v>6</v>
      </c>
      <c r="M293" s="1181">
        <v>3</v>
      </c>
      <c r="N293" s="1181">
        <v>4</v>
      </c>
      <c r="O293" s="488">
        <f t="shared" ref="O293:O309" si="82">AVERAGE(J293:N293)</f>
        <v>4</v>
      </c>
      <c r="P293" s="1182">
        <f t="shared" ref="P293:P308" si="83">+O293/$O$452</f>
        <v>6.6956812855708068E-3</v>
      </c>
    </row>
    <row r="294" spans="1:16" x14ac:dyDescent="0.25">
      <c r="A294" s="1186" t="s">
        <v>284</v>
      </c>
      <c r="B294" s="1178">
        <v>1</v>
      </c>
      <c r="C294" s="1178">
        <v>1</v>
      </c>
      <c r="D294" s="1178">
        <v>2</v>
      </c>
      <c r="E294" s="1179">
        <v>4</v>
      </c>
      <c r="F294" s="1178">
        <v>4</v>
      </c>
      <c r="G294" s="1179">
        <v>3</v>
      </c>
      <c r="H294" s="1180">
        <v>2</v>
      </c>
      <c r="I294" s="1180">
        <v>3</v>
      </c>
      <c r="J294" s="1180">
        <v>0</v>
      </c>
      <c r="K294" s="1180">
        <v>0</v>
      </c>
      <c r="L294" s="1180">
        <v>2</v>
      </c>
      <c r="M294" s="1181">
        <v>1</v>
      </c>
      <c r="N294" s="1181">
        <v>2</v>
      </c>
      <c r="O294" s="488">
        <f t="shared" si="82"/>
        <v>1</v>
      </c>
      <c r="P294" s="1182">
        <f t="shared" si="83"/>
        <v>1.6739203213927017E-3</v>
      </c>
    </row>
    <row r="295" spans="1:16" x14ac:dyDescent="0.25">
      <c r="A295" s="1186" t="s">
        <v>285</v>
      </c>
      <c r="B295" s="1178">
        <v>2</v>
      </c>
      <c r="C295" s="1178">
        <v>5</v>
      </c>
      <c r="D295" s="1178">
        <v>2</v>
      </c>
      <c r="E295" s="1179">
        <v>3</v>
      </c>
      <c r="F295" s="1178">
        <v>2</v>
      </c>
      <c r="G295" s="1179">
        <v>3</v>
      </c>
      <c r="H295" s="1180">
        <v>7</v>
      </c>
      <c r="I295" s="1180">
        <v>4</v>
      </c>
      <c r="J295" s="1180">
        <v>1</v>
      </c>
      <c r="K295" s="1180">
        <v>3</v>
      </c>
      <c r="L295" s="1180">
        <v>7</v>
      </c>
      <c r="M295" s="1181">
        <v>1</v>
      </c>
      <c r="N295" s="1181">
        <v>3</v>
      </c>
      <c r="O295" s="488">
        <f t="shared" si="82"/>
        <v>3</v>
      </c>
      <c r="P295" s="1182">
        <f t="shared" si="83"/>
        <v>5.0217609641781055E-3</v>
      </c>
    </row>
    <row r="296" spans="1:16" x14ac:dyDescent="0.25">
      <c r="A296" s="1187" t="s">
        <v>1428</v>
      </c>
      <c r="B296" s="1178"/>
      <c r="C296" s="1178"/>
      <c r="D296" s="1178"/>
      <c r="E296" s="1179">
        <v>0</v>
      </c>
      <c r="F296" s="1178">
        <v>0</v>
      </c>
      <c r="G296" s="1179">
        <v>0</v>
      </c>
      <c r="H296" s="1180">
        <v>0</v>
      </c>
      <c r="I296" s="1180">
        <v>0</v>
      </c>
      <c r="J296" s="1180">
        <v>0</v>
      </c>
      <c r="K296" s="1180">
        <v>0</v>
      </c>
      <c r="L296" s="1180">
        <v>1</v>
      </c>
      <c r="M296" s="1181">
        <v>0</v>
      </c>
      <c r="N296" s="1181">
        <v>0</v>
      </c>
      <c r="O296" s="488">
        <f t="shared" si="82"/>
        <v>0.2</v>
      </c>
      <c r="P296" s="1182">
        <f t="shared" si="83"/>
        <v>3.3478406427854036E-4</v>
      </c>
    </row>
    <row r="297" spans="1:16" x14ac:dyDescent="0.25">
      <c r="A297" s="1186" t="s">
        <v>286</v>
      </c>
      <c r="B297" s="1178">
        <v>6</v>
      </c>
      <c r="C297" s="1178">
        <v>2</v>
      </c>
      <c r="D297" s="1178">
        <v>6</v>
      </c>
      <c r="E297" s="1179">
        <v>9</v>
      </c>
      <c r="F297" s="1178">
        <v>12</v>
      </c>
      <c r="G297" s="1179">
        <v>4</v>
      </c>
      <c r="H297" s="1180">
        <v>3</v>
      </c>
      <c r="I297" s="1180">
        <v>10</v>
      </c>
      <c r="J297" s="1180">
        <v>6</v>
      </c>
      <c r="K297" s="1180">
        <v>5</v>
      </c>
      <c r="L297" s="1180">
        <v>2</v>
      </c>
      <c r="M297" s="1181">
        <v>4</v>
      </c>
      <c r="N297" s="1181">
        <v>3</v>
      </c>
      <c r="O297" s="488">
        <f t="shared" si="82"/>
        <v>4</v>
      </c>
      <c r="P297" s="1182">
        <f t="shared" si="83"/>
        <v>6.6956812855708068E-3</v>
      </c>
    </row>
    <row r="298" spans="1:16" x14ac:dyDescent="0.25">
      <c r="A298" s="1186" t="s">
        <v>287</v>
      </c>
      <c r="B298" s="1178">
        <v>0</v>
      </c>
      <c r="C298" s="1178">
        <v>1</v>
      </c>
      <c r="D298" s="1178">
        <v>1</v>
      </c>
      <c r="E298" s="1179">
        <v>0</v>
      </c>
      <c r="F298" s="1178">
        <v>0</v>
      </c>
      <c r="G298" s="1179">
        <v>0</v>
      </c>
      <c r="H298" s="1180">
        <v>0</v>
      </c>
      <c r="I298" s="1180">
        <v>0</v>
      </c>
      <c r="J298" s="1180">
        <v>0</v>
      </c>
      <c r="K298" s="1180">
        <v>0</v>
      </c>
      <c r="L298" s="1180">
        <v>0</v>
      </c>
      <c r="M298" s="1181">
        <v>0</v>
      </c>
      <c r="N298" s="1181">
        <v>0</v>
      </c>
      <c r="O298" s="488">
        <f t="shared" si="82"/>
        <v>0</v>
      </c>
      <c r="P298" s="1182">
        <f t="shared" si="83"/>
        <v>0</v>
      </c>
    </row>
    <row r="299" spans="1:16" x14ac:dyDescent="0.25">
      <c r="A299" s="1186" t="s">
        <v>288</v>
      </c>
      <c r="B299" s="1178">
        <v>0</v>
      </c>
      <c r="C299" s="1178">
        <v>3</v>
      </c>
      <c r="D299" s="1178">
        <v>8</v>
      </c>
      <c r="E299" s="1179">
        <v>6</v>
      </c>
      <c r="F299" s="1178">
        <v>4</v>
      </c>
      <c r="G299" s="1179">
        <v>0</v>
      </c>
      <c r="H299" s="1180">
        <v>1</v>
      </c>
      <c r="I299" s="1180">
        <v>2</v>
      </c>
      <c r="J299" s="1180">
        <v>2</v>
      </c>
      <c r="K299" s="1180">
        <v>1</v>
      </c>
      <c r="L299" s="1180">
        <v>4</v>
      </c>
      <c r="M299" s="1181">
        <v>9</v>
      </c>
      <c r="N299" s="1181">
        <v>3</v>
      </c>
      <c r="O299" s="488">
        <f t="shared" si="82"/>
        <v>3.8</v>
      </c>
      <c r="P299" s="1182">
        <f t="shared" si="83"/>
        <v>6.3608972212922665E-3</v>
      </c>
    </row>
    <row r="300" spans="1:16" x14ac:dyDescent="0.25">
      <c r="A300" s="1186" t="s">
        <v>343</v>
      </c>
      <c r="B300" s="1178">
        <v>0</v>
      </c>
      <c r="C300" s="1178">
        <v>0</v>
      </c>
      <c r="D300" s="1178">
        <v>0</v>
      </c>
      <c r="E300" s="1179">
        <v>0</v>
      </c>
      <c r="F300" s="1178">
        <v>0</v>
      </c>
      <c r="G300" s="1179">
        <v>1</v>
      </c>
      <c r="H300" s="1180">
        <v>0</v>
      </c>
      <c r="I300" s="1180">
        <v>0</v>
      </c>
      <c r="J300" s="1180">
        <v>0</v>
      </c>
      <c r="K300" s="1180">
        <v>0</v>
      </c>
      <c r="L300" s="1180">
        <v>1</v>
      </c>
      <c r="M300" s="1181">
        <v>0</v>
      </c>
      <c r="N300" s="1181">
        <v>0</v>
      </c>
      <c r="O300" s="488">
        <f t="shared" si="82"/>
        <v>0.2</v>
      </c>
      <c r="P300" s="1182">
        <f t="shared" si="83"/>
        <v>3.3478406427854036E-4</v>
      </c>
    </row>
    <row r="301" spans="1:16" x14ac:dyDescent="0.25">
      <c r="A301" s="1186" t="s">
        <v>289</v>
      </c>
      <c r="B301" s="1178">
        <v>6</v>
      </c>
      <c r="C301" s="1178">
        <v>4</v>
      </c>
      <c r="D301" s="1178">
        <v>7</v>
      </c>
      <c r="E301" s="1179">
        <v>9</v>
      </c>
      <c r="F301" s="1178">
        <v>3</v>
      </c>
      <c r="G301" s="1179">
        <v>6</v>
      </c>
      <c r="H301" s="1180">
        <v>2</v>
      </c>
      <c r="I301" s="1180">
        <v>1</v>
      </c>
      <c r="J301" s="1180">
        <v>0</v>
      </c>
      <c r="K301" s="1180">
        <v>3</v>
      </c>
      <c r="L301" s="1180">
        <v>3</v>
      </c>
      <c r="M301" s="1181">
        <v>7</v>
      </c>
      <c r="N301" s="1181">
        <v>5</v>
      </c>
      <c r="O301" s="488">
        <f t="shared" si="82"/>
        <v>3.6</v>
      </c>
      <c r="P301" s="1182">
        <f t="shared" si="83"/>
        <v>6.0261131570137263E-3</v>
      </c>
    </row>
    <row r="302" spans="1:16" x14ac:dyDescent="0.25">
      <c r="A302" s="1186" t="s">
        <v>290</v>
      </c>
      <c r="B302" s="1178">
        <v>8</v>
      </c>
      <c r="C302" s="1178">
        <v>13</v>
      </c>
      <c r="D302" s="1178">
        <v>3</v>
      </c>
      <c r="E302" s="1179">
        <v>2</v>
      </c>
      <c r="F302" s="1178">
        <v>11</v>
      </c>
      <c r="G302" s="1179">
        <v>1</v>
      </c>
      <c r="H302" s="1180">
        <v>4</v>
      </c>
      <c r="I302" s="1180">
        <v>9</v>
      </c>
      <c r="J302" s="1180">
        <v>9</v>
      </c>
      <c r="K302" s="1180">
        <v>12</v>
      </c>
      <c r="L302" s="1180">
        <v>6</v>
      </c>
      <c r="M302" s="1181">
        <v>6</v>
      </c>
      <c r="N302" s="1181">
        <v>6</v>
      </c>
      <c r="O302" s="488">
        <f t="shared" si="82"/>
        <v>7.8</v>
      </c>
      <c r="P302" s="1182">
        <f t="shared" si="83"/>
        <v>1.3056578506863073E-2</v>
      </c>
    </row>
    <row r="303" spans="1:16" x14ac:dyDescent="0.25">
      <c r="A303" s="1186" t="s">
        <v>291</v>
      </c>
      <c r="B303" s="1178">
        <v>0</v>
      </c>
      <c r="C303" s="1178">
        <v>0</v>
      </c>
      <c r="D303" s="1178">
        <v>0</v>
      </c>
      <c r="E303" s="1179">
        <v>3</v>
      </c>
      <c r="F303" s="1178">
        <v>0</v>
      </c>
      <c r="G303" s="1179">
        <v>0</v>
      </c>
      <c r="H303" s="1180">
        <v>1</v>
      </c>
      <c r="I303" s="1180">
        <v>0</v>
      </c>
      <c r="J303" s="1180">
        <v>2</v>
      </c>
      <c r="K303" s="1180">
        <v>2</v>
      </c>
      <c r="L303" s="1180">
        <v>1</v>
      </c>
      <c r="M303" s="1181">
        <v>5</v>
      </c>
      <c r="N303" s="1181">
        <v>0</v>
      </c>
      <c r="O303" s="488">
        <f t="shared" si="82"/>
        <v>2</v>
      </c>
      <c r="P303" s="1182">
        <f t="shared" si="83"/>
        <v>3.3478406427854034E-3</v>
      </c>
    </row>
    <row r="304" spans="1:16" x14ac:dyDescent="0.25">
      <c r="A304" s="1186" t="s">
        <v>292</v>
      </c>
      <c r="B304" s="1178">
        <v>0</v>
      </c>
      <c r="C304" s="1178">
        <v>0</v>
      </c>
      <c r="D304" s="1178">
        <v>0</v>
      </c>
      <c r="E304" s="1179">
        <v>0</v>
      </c>
      <c r="F304" s="1178">
        <v>0</v>
      </c>
      <c r="G304" s="1179">
        <v>0</v>
      </c>
      <c r="H304" s="1180">
        <v>0</v>
      </c>
      <c r="I304" s="1180">
        <v>0</v>
      </c>
      <c r="J304" s="1180">
        <v>0</v>
      </c>
      <c r="K304" s="1180">
        <v>0</v>
      </c>
      <c r="L304" s="1180">
        <v>0</v>
      </c>
      <c r="M304" s="1181">
        <v>0</v>
      </c>
      <c r="N304" s="1181">
        <v>0</v>
      </c>
      <c r="O304" s="488">
        <f t="shared" si="82"/>
        <v>0</v>
      </c>
      <c r="P304" s="1182">
        <f t="shared" si="83"/>
        <v>0</v>
      </c>
    </row>
    <row r="305" spans="1:16" x14ac:dyDescent="0.25">
      <c r="A305" s="1186" t="s">
        <v>293</v>
      </c>
      <c r="B305" s="1178">
        <v>0</v>
      </c>
      <c r="C305" s="1178">
        <v>0</v>
      </c>
      <c r="D305" s="1178">
        <v>1</v>
      </c>
      <c r="E305" s="1179">
        <v>2</v>
      </c>
      <c r="F305" s="1178">
        <v>0</v>
      </c>
      <c r="G305" s="1179">
        <v>2</v>
      </c>
      <c r="H305" s="1180">
        <v>2</v>
      </c>
      <c r="I305" s="1180">
        <v>1</v>
      </c>
      <c r="J305" s="1180">
        <v>1</v>
      </c>
      <c r="K305" s="1180">
        <v>5</v>
      </c>
      <c r="L305" s="1180">
        <v>1</v>
      </c>
      <c r="M305" s="1181">
        <v>2</v>
      </c>
      <c r="N305" s="1181">
        <v>1</v>
      </c>
      <c r="O305" s="488">
        <f t="shared" si="82"/>
        <v>2</v>
      </c>
      <c r="P305" s="1182">
        <f t="shared" si="83"/>
        <v>3.3478406427854034E-3</v>
      </c>
    </row>
    <row r="306" spans="1:16" x14ac:dyDescent="0.25">
      <c r="A306" s="1186" t="s">
        <v>294</v>
      </c>
      <c r="B306" s="1178">
        <v>6</v>
      </c>
      <c r="C306" s="1178">
        <v>1</v>
      </c>
      <c r="D306" s="1178">
        <v>0</v>
      </c>
      <c r="E306" s="1179">
        <v>3</v>
      </c>
      <c r="F306" s="1178">
        <v>2</v>
      </c>
      <c r="G306" s="1179">
        <v>5</v>
      </c>
      <c r="H306" s="1180">
        <v>3</v>
      </c>
      <c r="I306" s="1180">
        <v>2</v>
      </c>
      <c r="J306" s="1180">
        <v>3</v>
      </c>
      <c r="K306" s="1180">
        <v>9</v>
      </c>
      <c r="L306" s="1180">
        <v>4</v>
      </c>
      <c r="M306" s="1181">
        <v>0</v>
      </c>
      <c r="N306" s="1181">
        <v>1</v>
      </c>
      <c r="O306" s="488">
        <f t="shared" si="82"/>
        <v>3.4</v>
      </c>
      <c r="P306" s="1182">
        <f t="shared" si="83"/>
        <v>5.691329092735186E-3</v>
      </c>
    </row>
    <row r="307" spans="1:16" x14ac:dyDescent="0.25">
      <c r="A307" s="1186" t="s">
        <v>295</v>
      </c>
      <c r="B307" s="1178">
        <v>0</v>
      </c>
      <c r="C307" s="1178">
        <v>0</v>
      </c>
      <c r="D307" s="1178">
        <v>3</v>
      </c>
      <c r="E307" s="1179">
        <v>8</v>
      </c>
      <c r="F307" s="1178">
        <v>4</v>
      </c>
      <c r="G307" s="1179">
        <v>10</v>
      </c>
      <c r="H307" s="1180">
        <v>6</v>
      </c>
      <c r="I307" s="1180">
        <v>4</v>
      </c>
      <c r="J307" s="1180">
        <v>3</v>
      </c>
      <c r="K307" s="1180">
        <v>2</v>
      </c>
      <c r="L307" s="1180">
        <v>6</v>
      </c>
      <c r="M307" s="1181">
        <v>5</v>
      </c>
      <c r="N307" s="1181">
        <v>1</v>
      </c>
      <c r="O307" s="488">
        <f t="shared" si="82"/>
        <v>3.4</v>
      </c>
      <c r="P307" s="1182">
        <f t="shared" si="83"/>
        <v>5.691329092735186E-3</v>
      </c>
    </row>
    <row r="308" spans="1:16" x14ac:dyDescent="0.25">
      <c r="A308" s="1186" t="s">
        <v>725</v>
      </c>
      <c r="B308" s="1178"/>
      <c r="C308" s="1178">
        <v>0</v>
      </c>
      <c r="D308" s="1178">
        <v>0</v>
      </c>
      <c r="E308" s="1179">
        <v>0</v>
      </c>
      <c r="F308" s="1178">
        <v>0</v>
      </c>
      <c r="G308" s="1179">
        <v>0</v>
      </c>
      <c r="H308" s="1180">
        <v>0</v>
      </c>
      <c r="I308" s="1180">
        <v>0</v>
      </c>
      <c r="J308" s="1180">
        <v>0</v>
      </c>
      <c r="K308" s="1180">
        <v>0</v>
      </c>
      <c r="L308" s="1180">
        <v>0</v>
      </c>
      <c r="M308" s="1180">
        <v>0</v>
      </c>
      <c r="N308" s="1180">
        <v>0</v>
      </c>
      <c r="O308" s="488">
        <f t="shared" si="82"/>
        <v>0</v>
      </c>
      <c r="P308" s="1182">
        <f t="shared" si="83"/>
        <v>0</v>
      </c>
    </row>
    <row r="309" spans="1:16" x14ac:dyDescent="0.25">
      <c r="A309" s="495" t="s">
        <v>35</v>
      </c>
      <c r="B309" s="471">
        <f>SUM(B293:B307)</f>
        <v>37</v>
      </c>
      <c r="C309" s="471">
        <f t="shared" ref="C309:J309" si="84">SUM(C293:C308)</f>
        <v>31</v>
      </c>
      <c r="D309" s="471">
        <f t="shared" si="84"/>
        <v>34</v>
      </c>
      <c r="E309" s="663">
        <f t="shared" si="84"/>
        <v>52</v>
      </c>
      <c r="F309" s="471">
        <f t="shared" si="84"/>
        <v>42</v>
      </c>
      <c r="G309" s="663">
        <f t="shared" si="84"/>
        <v>39</v>
      </c>
      <c r="H309" s="488">
        <f t="shared" si="84"/>
        <v>35</v>
      </c>
      <c r="I309" s="488">
        <f t="shared" si="84"/>
        <v>37</v>
      </c>
      <c r="J309" s="488">
        <f t="shared" si="84"/>
        <v>31</v>
      </c>
      <c r="K309" s="488">
        <f>SUM(K293:K308)</f>
        <v>45</v>
      </c>
      <c r="L309" s="488">
        <f>SUM(L293:L308)</f>
        <v>44</v>
      </c>
      <c r="M309" s="488">
        <f>SUM(M293:M308)</f>
        <v>43</v>
      </c>
      <c r="N309" s="488">
        <f>SUM(N293:N308)</f>
        <v>29</v>
      </c>
      <c r="O309" s="488">
        <f t="shared" si="82"/>
        <v>38.4</v>
      </c>
      <c r="P309" s="494">
        <f>SUM(P293:P308)</f>
        <v>6.4278540341479756E-2</v>
      </c>
    </row>
    <row r="310" spans="1:16" x14ac:dyDescent="0.25">
      <c r="A310" s="492" t="s">
        <v>296</v>
      </c>
      <c r="B310" s="470" t="s">
        <v>853</v>
      </c>
      <c r="C310" s="470" t="s">
        <v>585</v>
      </c>
      <c r="D310" s="470" t="s">
        <v>1307</v>
      </c>
      <c r="E310" s="662" t="s">
        <v>560</v>
      </c>
      <c r="F310" s="470" t="s">
        <v>866</v>
      </c>
      <c r="G310" s="662" t="s">
        <v>620</v>
      </c>
      <c r="H310" s="489" t="s">
        <v>720</v>
      </c>
      <c r="I310" s="487" t="s">
        <v>915</v>
      </c>
      <c r="J310" s="487" t="s">
        <v>1364</v>
      </c>
      <c r="K310" s="487" t="s">
        <v>1385</v>
      </c>
      <c r="L310" s="487" t="s">
        <v>1386</v>
      </c>
      <c r="M310" s="1429" t="s">
        <v>1387</v>
      </c>
      <c r="N310" s="1429" t="s">
        <v>1535</v>
      </c>
      <c r="O310" s="489" t="s">
        <v>30</v>
      </c>
      <c r="P310" s="489" t="s">
        <v>31</v>
      </c>
    </row>
    <row r="311" spans="1:16" x14ac:dyDescent="0.25">
      <c r="A311" s="1186" t="s">
        <v>297</v>
      </c>
      <c r="B311" s="1178">
        <v>0</v>
      </c>
      <c r="C311" s="1178">
        <v>0</v>
      </c>
      <c r="D311" s="1178">
        <v>2</v>
      </c>
      <c r="E311" s="1179">
        <v>0</v>
      </c>
      <c r="F311" s="1178">
        <v>1</v>
      </c>
      <c r="G311" s="1179">
        <v>4</v>
      </c>
      <c r="H311" s="1180">
        <v>2</v>
      </c>
      <c r="I311" s="1180">
        <v>0</v>
      </c>
      <c r="J311" s="1180">
        <v>1</v>
      </c>
      <c r="K311" s="1180">
        <v>2</v>
      </c>
      <c r="L311" s="1180">
        <v>0</v>
      </c>
      <c r="M311" s="1180">
        <v>0</v>
      </c>
      <c r="N311" s="1180">
        <v>0</v>
      </c>
      <c r="O311" s="488">
        <f t="shared" ref="O311:O313" si="85">AVERAGE(J311:N311)</f>
        <v>0.6</v>
      </c>
      <c r="P311" s="1182">
        <f>+O311/$O$452</f>
        <v>1.004352192835621E-3</v>
      </c>
    </row>
    <row r="312" spans="1:16" x14ac:dyDescent="0.25">
      <c r="A312" s="1186" t="s">
        <v>298</v>
      </c>
      <c r="B312" s="1178">
        <v>2</v>
      </c>
      <c r="C312" s="1178">
        <v>0</v>
      </c>
      <c r="D312" s="1178">
        <v>3</v>
      </c>
      <c r="E312" s="1179">
        <v>4</v>
      </c>
      <c r="F312" s="1178">
        <v>3</v>
      </c>
      <c r="G312" s="1179">
        <v>4</v>
      </c>
      <c r="H312" s="1180">
        <v>2</v>
      </c>
      <c r="I312" s="1180">
        <v>2</v>
      </c>
      <c r="J312" s="1180">
        <v>0</v>
      </c>
      <c r="K312" s="1180">
        <v>1</v>
      </c>
      <c r="L312" s="1180">
        <v>1</v>
      </c>
      <c r="M312" s="1180">
        <v>0</v>
      </c>
      <c r="N312" s="1180">
        <v>2</v>
      </c>
      <c r="O312" s="488">
        <f t="shared" si="85"/>
        <v>0.8</v>
      </c>
      <c r="P312" s="1182">
        <f>+O312/$O$452</f>
        <v>1.3391362571141614E-3</v>
      </c>
    </row>
    <row r="313" spans="1:16" x14ac:dyDescent="0.25">
      <c r="A313" s="495" t="s">
        <v>35</v>
      </c>
      <c r="B313" s="471">
        <f t="shared" ref="B313:J313" si="86">SUM(B311:B312)</f>
        <v>2</v>
      </c>
      <c r="C313" s="471">
        <f t="shared" si="86"/>
        <v>0</v>
      </c>
      <c r="D313" s="471">
        <f t="shared" si="86"/>
        <v>5</v>
      </c>
      <c r="E313" s="663">
        <f t="shared" si="86"/>
        <v>4</v>
      </c>
      <c r="F313" s="471">
        <f t="shared" si="86"/>
        <v>4</v>
      </c>
      <c r="G313" s="663">
        <f t="shared" si="86"/>
        <v>8</v>
      </c>
      <c r="H313" s="488">
        <f t="shared" si="86"/>
        <v>4</v>
      </c>
      <c r="I313" s="488">
        <f t="shared" si="86"/>
        <v>2</v>
      </c>
      <c r="J313" s="488">
        <f t="shared" si="86"/>
        <v>1</v>
      </c>
      <c r="K313" s="488">
        <f>SUM(K311:K312)</f>
        <v>3</v>
      </c>
      <c r="L313" s="488">
        <f>SUM(L311:L312)</f>
        <v>1</v>
      </c>
      <c r="M313" s="488">
        <f>SUM(M311:M312)</f>
        <v>0</v>
      </c>
      <c r="N313" s="488">
        <f>SUM(N311:N312)</f>
        <v>2</v>
      </c>
      <c r="O313" s="488">
        <f t="shared" si="85"/>
        <v>1.4</v>
      </c>
      <c r="P313" s="494">
        <f>SUM(P311:P312)</f>
        <v>2.3434884499497826E-3</v>
      </c>
    </row>
    <row r="314" spans="1:16" x14ac:dyDescent="0.25">
      <c r="A314" s="492" t="s">
        <v>299</v>
      </c>
      <c r="B314" s="470" t="s">
        <v>853</v>
      </c>
      <c r="C314" s="470" t="s">
        <v>585</v>
      </c>
      <c r="D314" s="470" t="s">
        <v>1307</v>
      </c>
      <c r="E314" s="662" t="s">
        <v>560</v>
      </c>
      <c r="F314" s="470" t="s">
        <v>866</v>
      </c>
      <c r="G314" s="662" t="s">
        <v>620</v>
      </c>
      <c r="H314" s="489" t="s">
        <v>1429</v>
      </c>
      <c r="I314" s="487" t="s">
        <v>915</v>
      </c>
      <c r="J314" s="487" t="s">
        <v>1364</v>
      </c>
      <c r="K314" s="487" t="s">
        <v>1385</v>
      </c>
      <c r="L314" s="487" t="s">
        <v>1386</v>
      </c>
      <c r="M314" s="1429" t="s">
        <v>1387</v>
      </c>
      <c r="N314" s="1429" t="s">
        <v>1535</v>
      </c>
      <c r="O314" s="489" t="s">
        <v>30</v>
      </c>
      <c r="P314" s="489" t="s">
        <v>31</v>
      </c>
    </row>
    <row r="315" spans="1:16" x14ac:dyDescent="0.25">
      <c r="A315" s="1186" t="s">
        <v>300</v>
      </c>
      <c r="B315" s="1178">
        <v>0</v>
      </c>
      <c r="C315" s="1178">
        <v>0</v>
      </c>
      <c r="D315" s="1178">
        <v>0</v>
      </c>
      <c r="E315" s="1179">
        <v>0</v>
      </c>
      <c r="F315" s="1178">
        <v>0</v>
      </c>
      <c r="G315" s="1179">
        <v>0</v>
      </c>
      <c r="H315" s="1180">
        <v>0</v>
      </c>
      <c r="I315" s="1180">
        <v>0</v>
      </c>
      <c r="J315" s="1180">
        <v>0</v>
      </c>
      <c r="K315" s="1180">
        <v>0</v>
      </c>
      <c r="L315" s="1180">
        <v>0</v>
      </c>
      <c r="M315" s="1180">
        <v>0</v>
      </c>
      <c r="N315" s="1180">
        <v>0</v>
      </c>
      <c r="O315" s="488">
        <f t="shared" ref="O315:O321" si="87">AVERAGE(J315:N315)</f>
        <v>0</v>
      </c>
      <c r="P315" s="1182">
        <f t="shared" ref="P315:P320" si="88">+O315/$O$452</f>
        <v>0</v>
      </c>
    </row>
    <row r="316" spans="1:16" x14ac:dyDescent="0.25">
      <c r="A316" s="469" t="s">
        <v>1430</v>
      </c>
      <c r="B316" s="1178">
        <v>0</v>
      </c>
      <c r="C316" s="1178">
        <v>0</v>
      </c>
      <c r="D316" s="1178">
        <v>0</v>
      </c>
      <c r="E316" s="1179">
        <v>0</v>
      </c>
      <c r="F316" s="1178">
        <v>0</v>
      </c>
      <c r="G316" s="1179">
        <v>0</v>
      </c>
      <c r="H316" s="1180">
        <v>0</v>
      </c>
      <c r="I316" s="1180">
        <v>0</v>
      </c>
      <c r="J316" s="1180">
        <v>0</v>
      </c>
      <c r="K316" s="1180">
        <v>0</v>
      </c>
      <c r="L316" s="1180">
        <v>0</v>
      </c>
      <c r="M316" s="1180">
        <v>1</v>
      </c>
      <c r="N316" s="1180">
        <v>0</v>
      </c>
      <c r="O316" s="488">
        <f t="shared" si="87"/>
        <v>0.2</v>
      </c>
      <c r="P316" s="1182">
        <f t="shared" si="88"/>
        <v>3.3478406427854036E-4</v>
      </c>
    </row>
    <row r="317" spans="1:16" x14ac:dyDescent="0.25">
      <c r="A317" s="1186" t="s">
        <v>301</v>
      </c>
      <c r="B317" s="1178">
        <v>2</v>
      </c>
      <c r="C317" s="1178">
        <v>0</v>
      </c>
      <c r="D317" s="1178">
        <v>6</v>
      </c>
      <c r="E317" s="1179">
        <v>0</v>
      </c>
      <c r="F317" s="1178">
        <v>0</v>
      </c>
      <c r="G317" s="1179">
        <v>1</v>
      </c>
      <c r="H317" s="1180">
        <v>0</v>
      </c>
      <c r="I317" s="1180">
        <v>0</v>
      </c>
      <c r="J317" s="1180">
        <v>0</v>
      </c>
      <c r="K317" s="1180">
        <v>0</v>
      </c>
      <c r="L317" s="1180">
        <v>1</v>
      </c>
      <c r="M317" s="1181">
        <v>1</v>
      </c>
      <c r="N317" s="1181">
        <v>0</v>
      </c>
      <c r="O317" s="488">
        <f t="shared" si="87"/>
        <v>0.4</v>
      </c>
      <c r="P317" s="1182">
        <f t="shared" si="88"/>
        <v>6.6956812855708072E-4</v>
      </c>
    </row>
    <row r="318" spans="1:16" x14ac:dyDescent="0.25">
      <c r="A318" s="1186" t="s">
        <v>302</v>
      </c>
      <c r="B318" s="1178">
        <v>0</v>
      </c>
      <c r="C318" s="1178">
        <v>2</v>
      </c>
      <c r="D318" s="1178">
        <v>1</v>
      </c>
      <c r="E318" s="1179">
        <v>0</v>
      </c>
      <c r="F318" s="1178">
        <v>1</v>
      </c>
      <c r="G318" s="1179">
        <v>2</v>
      </c>
      <c r="H318" s="1180">
        <v>0</v>
      </c>
      <c r="I318" s="1180">
        <v>0</v>
      </c>
      <c r="J318" s="1180">
        <v>0</v>
      </c>
      <c r="K318" s="1180">
        <v>0</v>
      </c>
      <c r="L318" s="1180">
        <v>1</v>
      </c>
      <c r="M318" s="1181">
        <v>2</v>
      </c>
      <c r="N318" s="1181">
        <v>2</v>
      </c>
      <c r="O318" s="488">
        <f t="shared" si="87"/>
        <v>1</v>
      </c>
      <c r="P318" s="1182">
        <f t="shared" si="88"/>
        <v>1.6739203213927017E-3</v>
      </c>
    </row>
    <row r="319" spans="1:16" x14ac:dyDescent="0.25">
      <c r="A319" s="1186" t="s">
        <v>303</v>
      </c>
      <c r="B319" s="1178">
        <v>1</v>
      </c>
      <c r="C319" s="1178">
        <v>2</v>
      </c>
      <c r="D319" s="1178">
        <v>1</v>
      </c>
      <c r="E319" s="1179">
        <v>1</v>
      </c>
      <c r="F319" s="1178">
        <v>0</v>
      </c>
      <c r="G319" s="1179">
        <v>0</v>
      </c>
      <c r="H319" s="1180">
        <v>0</v>
      </c>
      <c r="I319" s="1180">
        <v>0</v>
      </c>
      <c r="J319" s="1180">
        <v>0</v>
      </c>
      <c r="K319" s="1180">
        <v>0</v>
      </c>
      <c r="L319" s="1180">
        <v>1</v>
      </c>
      <c r="M319" s="1180">
        <v>0</v>
      </c>
      <c r="N319" s="1180">
        <v>0</v>
      </c>
      <c r="O319" s="488">
        <f t="shared" si="87"/>
        <v>0.2</v>
      </c>
      <c r="P319" s="1182">
        <f t="shared" si="88"/>
        <v>3.3478406427854036E-4</v>
      </c>
    </row>
    <row r="320" spans="1:16" x14ac:dyDescent="0.25">
      <c r="A320" s="1186" t="s">
        <v>304</v>
      </c>
      <c r="B320" s="1178">
        <v>0</v>
      </c>
      <c r="C320" s="1178">
        <v>0</v>
      </c>
      <c r="D320" s="1178">
        <v>0</v>
      </c>
      <c r="E320" s="1179">
        <v>0</v>
      </c>
      <c r="F320" s="1178">
        <v>0</v>
      </c>
      <c r="G320" s="1179">
        <v>0</v>
      </c>
      <c r="H320" s="1180">
        <v>0</v>
      </c>
      <c r="I320" s="1180">
        <v>0</v>
      </c>
      <c r="J320" s="1180">
        <v>0</v>
      </c>
      <c r="K320" s="1180">
        <v>0</v>
      </c>
      <c r="L320" s="1180">
        <v>0</v>
      </c>
      <c r="M320" s="1180">
        <v>0</v>
      </c>
      <c r="N320" s="1180">
        <v>0</v>
      </c>
      <c r="O320" s="488">
        <f t="shared" si="87"/>
        <v>0</v>
      </c>
      <c r="P320" s="1182">
        <f t="shared" si="88"/>
        <v>0</v>
      </c>
    </row>
    <row r="321" spans="1:16" x14ac:dyDescent="0.25">
      <c r="A321" s="495" t="s">
        <v>35</v>
      </c>
      <c r="B321" s="471">
        <f t="shared" ref="B321:J321" si="89">SUM(B315:B320)</f>
        <v>3</v>
      </c>
      <c r="C321" s="471">
        <f t="shared" si="89"/>
        <v>4</v>
      </c>
      <c r="D321" s="471">
        <f t="shared" si="89"/>
        <v>8</v>
      </c>
      <c r="E321" s="663">
        <f t="shared" si="89"/>
        <v>1</v>
      </c>
      <c r="F321" s="471">
        <f t="shared" si="89"/>
        <v>1</v>
      </c>
      <c r="G321" s="663">
        <f t="shared" si="89"/>
        <v>3</v>
      </c>
      <c r="H321" s="488">
        <f t="shared" si="89"/>
        <v>0</v>
      </c>
      <c r="I321" s="488">
        <f t="shared" si="89"/>
        <v>0</v>
      </c>
      <c r="J321" s="488">
        <f t="shared" si="89"/>
        <v>0</v>
      </c>
      <c r="K321" s="488">
        <f>SUM(K315:K320)</f>
        <v>0</v>
      </c>
      <c r="L321" s="488">
        <f>SUM(L315:L320)</f>
        <v>3</v>
      </c>
      <c r="M321" s="488">
        <f>SUM(M315:M320)</f>
        <v>4</v>
      </c>
      <c r="N321" s="488">
        <f>SUM(N315:N320)</f>
        <v>2</v>
      </c>
      <c r="O321" s="488">
        <f t="shared" si="87"/>
        <v>1.8</v>
      </c>
      <c r="P321" s="494">
        <f>SUM(P315:P320)</f>
        <v>3.0130565785068631E-3</v>
      </c>
    </row>
    <row r="322" spans="1:16" x14ac:dyDescent="0.25">
      <c r="A322" s="492" t="s">
        <v>305</v>
      </c>
      <c r="B322" s="470" t="s">
        <v>853</v>
      </c>
      <c r="C322" s="470" t="s">
        <v>585</v>
      </c>
      <c r="D322" s="470" t="s">
        <v>1307</v>
      </c>
      <c r="E322" s="662" t="s">
        <v>560</v>
      </c>
      <c r="F322" s="470" t="s">
        <v>866</v>
      </c>
      <c r="G322" s="662" t="s">
        <v>620</v>
      </c>
      <c r="H322" s="489" t="s">
        <v>1429</v>
      </c>
      <c r="I322" s="487" t="s">
        <v>915</v>
      </c>
      <c r="J322" s="487" t="s">
        <v>1364</v>
      </c>
      <c r="K322" s="487" t="s">
        <v>1385</v>
      </c>
      <c r="L322" s="487" t="s">
        <v>1386</v>
      </c>
      <c r="M322" s="1429" t="s">
        <v>1387</v>
      </c>
      <c r="N322" s="1429" t="s">
        <v>1535</v>
      </c>
      <c r="O322" s="489" t="s">
        <v>30</v>
      </c>
      <c r="P322" s="489" t="s">
        <v>31</v>
      </c>
    </row>
    <row r="323" spans="1:16" x14ac:dyDescent="0.25">
      <c r="A323" s="1186" t="s">
        <v>306</v>
      </c>
      <c r="B323" s="1178">
        <v>1</v>
      </c>
      <c r="C323" s="1178">
        <v>0</v>
      </c>
      <c r="D323" s="1178">
        <v>0</v>
      </c>
      <c r="E323" s="1179">
        <v>0</v>
      </c>
      <c r="F323" s="1178">
        <v>0</v>
      </c>
      <c r="G323" s="1179">
        <v>2</v>
      </c>
      <c r="H323" s="1180">
        <v>1</v>
      </c>
      <c r="I323" s="1180">
        <v>2</v>
      </c>
      <c r="J323" s="1180">
        <v>2</v>
      </c>
      <c r="K323" s="1180">
        <v>1</v>
      </c>
      <c r="L323" s="1180">
        <v>3</v>
      </c>
      <c r="M323" s="1180">
        <v>0</v>
      </c>
      <c r="N323" s="1180">
        <v>4</v>
      </c>
      <c r="O323" s="488">
        <f t="shared" ref="O323:O325" si="90">AVERAGE(J323:N323)</f>
        <v>2</v>
      </c>
      <c r="P323" s="1182">
        <f>+O323/$O$452</f>
        <v>3.3478406427854034E-3</v>
      </c>
    </row>
    <row r="324" spans="1:16" x14ac:dyDescent="0.25">
      <c r="A324" s="1186" t="s">
        <v>726</v>
      </c>
      <c r="B324" s="1178"/>
      <c r="C324" s="1178">
        <v>0</v>
      </c>
      <c r="D324" s="1178">
        <v>0</v>
      </c>
      <c r="E324" s="1179">
        <v>0</v>
      </c>
      <c r="F324" s="1178">
        <v>0</v>
      </c>
      <c r="G324" s="1179">
        <v>0</v>
      </c>
      <c r="H324" s="1180">
        <v>1</v>
      </c>
      <c r="I324" s="1180">
        <v>0</v>
      </c>
      <c r="J324" s="1180">
        <v>0</v>
      </c>
      <c r="K324" s="1180">
        <v>0</v>
      </c>
      <c r="L324" s="1180">
        <v>0</v>
      </c>
      <c r="M324" s="1180">
        <v>0</v>
      </c>
      <c r="N324" s="1180">
        <v>0</v>
      </c>
      <c r="O324" s="488">
        <f t="shared" si="90"/>
        <v>0</v>
      </c>
      <c r="P324" s="1182">
        <f>+O324/$O$452</f>
        <v>0</v>
      </c>
    </row>
    <row r="325" spans="1:16" x14ac:dyDescent="0.25">
      <c r="A325" s="495" t="s">
        <v>35</v>
      </c>
      <c r="B325" s="471">
        <f t="shared" ref="B325:H325" si="91">SUM(B323)</f>
        <v>1</v>
      </c>
      <c r="C325" s="471">
        <f t="shared" si="91"/>
        <v>0</v>
      </c>
      <c r="D325" s="471">
        <f t="shared" si="91"/>
        <v>0</v>
      </c>
      <c r="E325" s="663">
        <f t="shared" si="91"/>
        <v>0</v>
      </c>
      <c r="F325" s="471">
        <f t="shared" si="91"/>
        <v>0</v>
      </c>
      <c r="G325" s="663">
        <f t="shared" si="91"/>
        <v>2</v>
      </c>
      <c r="H325" s="488">
        <f t="shared" si="91"/>
        <v>1</v>
      </c>
      <c r="I325" s="488">
        <f t="shared" ref="I325:N325" si="92">SUM(I323:I324)</f>
        <v>2</v>
      </c>
      <c r="J325" s="488">
        <f t="shared" si="92"/>
        <v>2</v>
      </c>
      <c r="K325" s="488">
        <f t="shared" si="92"/>
        <v>1</v>
      </c>
      <c r="L325" s="488">
        <f t="shared" si="92"/>
        <v>3</v>
      </c>
      <c r="M325" s="488">
        <f t="shared" si="92"/>
        <v>0</v>
      </c>
      <c r="N325" s="488">
        <f t="shared" si="92"/>
        <v>4</v>
      </c>
      <c r="O325" s="488">
        <f t="shared" si="90"/>
        <v>2</v>
      </c>
      <c r="P325" s="494">
        <f>SUM(P323:P324)</f>
        <v>3.3478406427854034E-3</v>
      </c>
    </row>
    <row r="326" spans="1:16" x14ac:dyDescent="0.25">
      <c r="A326" s="492" t="s">
        <v>307</v>
      </c>
      <c r="B326" s="470" t="s">
        <v>853</v>
      </c>
      <c r="C326" s="470" t="s">
        <v>585</v>
      </c>
      <c r="D326" s="470" t="s">
        <v>1307</v>
      </c>
      <c r="E326" s="662" t="s">
        <v>560</v>
      </c>
      <c r="F326" s="470" t="s">
        <v>866</v>
      </c>
      <c r="G326" s="662" t="s">
        <v>620</v>
      </c>
      <c r="H326" s="489" t="s">
        <v>720</v>
      </c>
      <c r="I326" s="487" t="s">
        <v>915</v>
      </c>
      <c r="J326" s="487" t="s">
        <v>1364</v>
      </c>
      <c r="K326" s="487" t="s">
        <v>1385</v>
      </c>
      <c r="L326" s="487" t="s">
        <v>1386</v>
      </c>
      <c r="M326" s="1429" t="s">
        <v>1387</v>
      </c>
      <c r="N326" s="1429" t="s">
        <v>1535</v>
      </c>
      <c r="O326" s="489" t="s">
        <v>30</v>
      </c>
      <c r="P326" s="489" t="s">
        <v>31</v>
      </c>
    </row>
    <row r="327" spans="1:16" x14ac:dyDescent="0.25">
      <c r="A327" s="1186" t="s">
        <v>308</v>
      </c>
      <c r="B327" s="1178">
        <v>3</v>
      </c>
      <c r="C327" s="1178">
        <v>5</v>
      </c>
      <c r="D327" s="1178">
        <v>9</v>
      </c>
      <c r="E327" s="1179">
        <v>0</v>
      </c>
      <c r="F327" s="1178">
        <v>12</v>
      </c>
      <c r="G327" s="1179">
        <v>7</v>
      </c>
      <c r="H327" s="1180">
        <v>4</v>
      </c>
      <c r="I327" s="1180">
        <v>8</v>
      </c>
      <c r="J327" s="1180">
        <v>2</v>
      </c>
      <c r="K327" s="1180">
        <v>5</v>
      </c>
      <c r="L327" s="1180">
        <v>2</v>
      </c>
      <c r="M327" s="1181">
        <v>2</v>
      </c>
      <c r="N327" s="1181">
        <v>3</v>
      </c>
      <c r="O327" s="488">
        <f t="shared" ref="O327:O331" si="93">AVERAGE(J327:N327)</f>
        <v>2.8</v>
      </c>
      <c r="P327" s="1182">
        <f>+O327/$O$452</f>
        <v>4.6869768998995644E-3</v>
      </c>
    </row>
    <row r="328" spans="1:16" x14ac:dyDescent="0.25">
      <c r="A328" s="1186" t="s">
        <v>309</v>
      </c>
      <c r="B328" s="1178">
        <v>1</v>
      </c>
      <c r="C328" s="1178">
        <v>1</v>
      </c>
      <c r="D328" s="1178">
        <v>0</v>
      </c>
      <c r="E328" s="1179">
        <v>4</v>
      </c>
      <c r="F328" s="1178">
        <v>2</v>
      </c>
      <c r="G328" s="1179">
        <v>0</v>
      </c>
      <c r="H328" s="1180">
        <v>5</v>
      </c>
      <c r="I328" s="1180">
        <v>0</v>
      </c>
      <c r="J328" s="1180">
        <v>1</v>
      </c>
      <c r="K328" s="1180">
        <v>1</v>
      </c>
      <c r="L328" s="1180">
        <v>2</v>
      </c>
      <c r="M328" s="1181">
        <v>0</v>
      </c>
      <c r="N328" s="1181">
        <v>0</v>
      </c>
      <c r="O328" s="488">
        <f t="shared" si="93"/>
        <v>0.8</v>
      </c>
      <c r="P328" s="1182">
        <f>+O328/$O$452</f>
        <v>1.3391362571141614E-3</v>
      </c>
    </row>
    <row r="329" spans="1:16" x14ac:dyDescent="0.25">
      <c r="A329" s="1186" t="s">
        <v>310</v>
      </c>
      <c r="B329" s="1178">
        <v>1</v>
      </c>
      <c r="C329" s="1178">
        <v>13</v>
      </c>
      <c r="D329" s="1178">
        <v>2</v>
      </c>
      <c r="E329" s="1179">
        <v>5</v>
      </c>
      <c r="F329" s="1178">
        <v>1</v>
      </c>
      <c r="G329" s="1179">
        <v>11</v>
      </c>
      <c r="H329" s="1180">
        <v>1</v>
      </c>
      <c r="I329" s="1180">
        <v>3</v>
      </c>
      <c r="J329" s="1180">
        <v>4</v>
      </c>
      <c r="K329" s="1180">
        <v>6</v>
      </c>
      <c r="L329" s="1180">
        <v>2</v>
      </c>
      <c r="M329" s="1181">
        <v>1</v>
      </c>
      <c r="N329" s="1181">
        <v>0</v>
      </c>
      <c r="O329" s="488">
        <f t="shared" si="93"/>
        <v>2.6</v>
      </c>
      <c r="P329" s="1182">
        <f>+O329/$O$452</f>
        <v>4.352192835621025E-3</v>
      </c>
    </row>
    <row r="330" spans="1:16" x14ac:dyDescent="0.25">
      <c r="A330" s="1186" t="s">
        <v>311</v>
      </c>
      <c r="B330" s="1178">
        <v>2</v>
      </c>
      <c r="C330" s="1178">
        <v>0</v>
      </c>
      <c r="D330" s="1178">
        <v>2</v>
      </c>
      <c r="E330" s="1179">
        <v>0</v>
      </c>
      <c r="F330" s="1178">
        <v>0</v>
      </c>
      <c r="G330" s="1179">
        <v>1</v>
      </c>
      <c r="H330" s="1180">
        <v>4</v>
      </c>
      <c r="I330" s="1180">
        <v>0</v>
      </c>
      <c r="J330" s="1180">
        <v>0</v>
      </c>
      <c r="K330" s="1180">
        <v>1</v>
      </c>
      <c r="L330" s="1180">
        <v>2</v>
      </c>
      <c r="M330" s="1181">
        <v>1</v>
      </c>
      <c r="N330" s="1181">
        <v>0</v>
      </c>
      <c r="O330" s="488">
        <f t="shared" si="93"/>
        <v>0.8</v>
      </c>
      <c r="P330" s="1182">
        <f>+O330/$O$452</f>
        <v>1.3391362571141614E-3</v>
      </c>
    </row>
    <row r="331" spans="1:16" x14ac:dyDescent="0.25">
      <c r="A331" s="495" t="s">
        <v>35</v>
      </c>
      <c r="B331" s="471">
        <f t="shared" ref="B331:J331" si="94">SUM(B327:B330)</f>
        <v>7</v>
      </c>
      <c r="C331" s="471">
        <f t="shared" si="94"/>
        <v>19</v>
      </c>
      <c r="D331" s="471">
        <f t="shared" si="94"/>
        <v>13</v>
      </c>
      <c r="E331" s="663">
        <f t="shared" si="94"/>
        <v>9</v>
      </c>
      <c r="F331" s="471">
        <f t="shared" si="94"/>
        <v>15</v>
      </c>
      <c r="G331" s="663">
        <f t="shared" si="94"/>
        <v>19</v>
      </c>
      <c r="H331" s="488">
        <f t="shared" si="94"/>
        <v>14</v>
      </c>
      <c r="I331" s="488">
        <f t="shared" si="94"/>
        <v>11</v>
      </c>
      <c r="J331" s="488">
        <f t="shared" si="94"/>
        <v>7</v>
      </c>
      <c r="K331" s="488">
        <f>SUM(K327:K330)</f>
        <v>13</v>
      </c>
      <c r="L331" s="488">
        <f>SUM(L327:L330)</f>
        <v>8</v>
      </c>
      <c r="M331" s="488">
        <f>SUM(M327:M330)</f>
        <v>4</v>
      </c>
      <c r="N331" s="488">
        <f>SUM(N327:N330)</f>
        <v>3</v>
      </c>
      <c r="O331" s="488">
        <f t="shared" si="93"/>
        <v>7</v>
      </c>
      <c r="P331" s="494">
        <f>SUM(P327:P330)</f>
        <v>1.1717442249748912E-2</v>
      </c>
    </row>
    <row r="332" spans="1:16" x14ac:dyDescent="0.25">
      <c r="A332" s="492" t="s">
        <v>312</v>
      </c>
      <c r="B332" s="470" t="s">
        <v>853</v>
      </c>
      <c r="C332" s="470" t="s">
        <v>585</v>
      </c>
      <c r="D332" s="470" t="s">
        <v>1307</v>
      </c>
      <c r="E332" s="662" t="s">
        <v>560</v>
      </c>
      <c r="F332" s="470" t="s">
        <v>866</v>
      </c>
      <c r="G332" s="662" t="s">
        <v>620</v>
      </c>
      <c r="H332" s="489" t="s">
        <v>720</v>
      </c>
      <c r="I332" s="487" t="s">
        <v>915</v>
      </c>
      <c r="J332" s="487" t="s">
        <v>1364</v>
      </c>
      <c r="K332" s="487" t="s">
        <v>1385</v>
      </c>
      <c r="L332" s="487" t="s">
        <v>1386</v>
      </c>
      <c r="M332" s="1429" t="s">
        <v>1387</v>
      </c>
      <c r="N332" s="1429" t="s">
        <v>1535</v>
      </c>
      <c r="O332" s="489" t="s">
        <v>30</v>
      </c>
      <c r="P332" s="489" t="s">
        <v>31</v>
      </c>
    </row>
    <row r="333" spans="1:16" x14ac:dyDescent="0.25">
      <c r="A333" s="1186" t="s">
        <v>727</v>
      </c>
      <c r="B333" s="1178">
        <v>3</v>
      </c>
      <c r="C333" s="1178">
        <v>0</v>
      </c>
      <c r="D333" s="1178">
        <v>0</v>
      </c>
      <c r="E333" s="1179">
        <v>0</v>
      </c>
      <c r="F333" s="1178">
        <v>0</v>
      </c>
      <c r="G333" s="1179">
        <v>0</v>
      </c>
      <c r="H333" s="1180">
        <v>1</v>
      </c>
      <c r="I333" s="1180">
        <v>0</v>
      </c>
      <c r="J333" s="1180">
        <v>0</v>
      </c>
      <c r="K333" s="1180">
        <v>0</v>
      </c>
      <c r="L333" s="1180">
        <v>1</v>
      </c>
      <c r="M333" s="1180">
        <v>0</v>
      </c>
      <c r="N333" s="1180">
        <v>0</v>
      </c>
      <c r="O333" s="488">
        <f t="shared" ref="O333:O338" si="95">AVERAGE(J333:N333)</f>
        <v>0.2</v>
      </c>
      <c r="P333" s="1182">
        <f>+O333/$O$452</f>
        <v>3.3478406427854036E-4</v>
      </c>
    </row>
    <row r="334" spans="1:16" x14ac:dyDescent="0.25">
      <c r="A334" s="1186" t="s">
        <v>313</v>
      </c>
      <c r="B334" s="1178">
        <v>3</v>
      </c>
      <c r="C334" s="1178">
        <v>1</v>
      </c>
      <c r="D334" s="1178">
        <v>0</v>
      </c>
      <c r="E334" s="1179">
        <v>5</v>
      </c>
      <c r="F334" s="1178">
        <v>4</v>
      </c>
      <c r="G334" s="1179">
        <v>1</v>
      </c>
      <c r="H334" s="1180">
        <v>3</v>
      </c>
      <c r="I334" s="1180">
        <v>0</v>
      </c>
      <c r="J334" s="1180">
        <v>9</v>
      </c>
      <c r="K334" s="1180">
        <v>3</v>
      </c>
      <c r="L334" s="1180">
        <v>2</v>
      </c>
      <c r="M334" s="1181">
        <v>2</v>
      </c>
      <c r="N334" s="1181">
        <v>1</v>
      </c>
      <c r="O334" s="488">
        <f t="shared" si="95"/>
        <v>3.4</v>
      </c>
      <c r="P334" s="1182">
        <f>+O334/$O$452</f>
        <v>5.691329092735186E-3</v>
      </c>
    </row>
    <row r="335" spans="1:16" x14ac:dyDescent="0.25">
      <c r="A335" s="1186" t="s">
        <v>314</v>
      </c>
      <c r="B335" s="1178">
        <v>0</v>
      </c>
      <c r="C335" s="1178">
        <v>0</v>
      </c>
      <c r="D335" s="1178">
        <v>1</v>
      </c>
      <c r="E335" s="1179">
        <v>0</v>
      </c>
      <c r="F335" s="1178">
        <v>0</v>
      </c>
      <c r="G335" s="1179">
        <v>0</v>
      </c>
      <c r="H335" s="1180">
        <v>1</v>
      </c>
      <c r="I335" s="1180">
        <v>0</v>
      </c>
      <c r="J335" s="1180">
        <v>3</v>
      </c>
      <c r="K335" s="1180">
        <v>0</v>
      </c>
      <c r="L335" s="1180">
        <v>1</v>
      </c>
      <c r="M335" s="1181">
        <v>0</v>
      </c>
      <c r="N335" s="1181">
        <v>2</v>
      </c>
      <c r="O335" s="488">
        <f t="shared" si="95"/>
        <v>1.2</v>
      </c>
      <c r="P335" s="1182">
        <f>+O335/$O$452</f>
        <v>2.0087043856712419E-3</v>
      </c>
    </row>
    <row r="336" spans="1:16" x14ac:dyDescent="0.25">
      <c r="A336" s="1186" t="s">
        <v>315</v>
      </c>
      <c r="B336" s="1178">
        <v>0</v>
      </c>
      <c r="C336" s="1178">
        <v>1</v>
      </c>
      <c r="D336" s="1178">
        <v>4</v>
      </c>
      <c r="E336" s="1179">
        <v>0</v>
      </c>
      <c r="F336" s="1178">
        <v>2</v>
      </c>
      <c r="G336" s="1179">
        <v>0</v>
      </c>
      <c r="H336" s="1180">
        <v>0</v>
      </c>
      <c r="I336" s="1180">
        <v>2</v>
      </c>
      <c r="J336" s="1180">
        <v>0</v>
      </c>
      <c r="K336" s="1180">
        <v>0</v>
      </c>
      <c r="L336" s="1180">
        <v>6</v>
      </c>
      <c r="M336" s="1181">
        <v>4</v>
      </c>
      <c r="N336" s="1181">
        <v>2</v>
      </c>
      <c r="O336" s="488">
        <f t="shared" si="95"/>
        <v>2.4</v>
      </c>
      <c r="P336" s="1182">
        <f>+O336/$O$452</f>
        <v>4.0174087713424839E-3</v>
      </c>
    </row>
    <row r="337" spans="1:16" x14ac:dyDescent="0.25">
      <c r="A337" s="1186" t="s">
        <v>316</v>
      </c>
      <c r="B337" s="1178">
        <v>0</v>
      </c>
      <c r="C337" s="1178">
        <v>2</v>
      </c>
      <c r="D337" s="1178">
        <v>2</v>
      </c>
      <c r="E337" s="1179">
        <v>3</v>
      </c>
      <c r="F337" s="1178">
        <v>2</v>
      </c>
      <c r="G337" s="1179">
        <v>2</v>
      </c>
      <c r="H337" s="1180">
        <v>1</v>
      </c>
      <c r="I337" s="1180">
        <v>2</v>
      </c>
      <c r="J337" s="1180">
        <v>1</v>
      </c>
      <c r="K337" s="1180">
        <v>4</v>
      </c>
      <c r="L337" s="1180">
        <v>4</v>
      </c>
      <c r="M337" s="1181">
        <v>2</v>
      </c>
      <c r="N337" s="1181">
        <v>2</v>
      </c>
      <c r="O337" s="488">
        <f t="shared" si="95"/>
        <v>2.6</v>
      </c>
      <c r="P337" s="1182">
        <f>+O337/$O$452</f>
        <v>4.352192835621025E-3</v>
      </c>
    </row>
    <row r="338" spans="1:16" x14ac:dyDescent="0.25">
      <c r="A338" s="495" t="s">
        <v>35</v>
      </c>
      <c r="B338" s="471">
        <f t="shared" ref="B338:J338" si="96">SUM(B333:B337)</f>
        <v>6</v>
      </c>
      <c r="C338" s="471">
        <f t="shared" si="96"/>
        <v>4</v>
      </c>
      <c r="D338" s="471">
        <f t="shared" si="96"/>
        <v>7</v>
      </c>
      <c r="E338" s="663">
        <f t="shared" si="96"/>
        <v>8</v>
      </c>
      <c r="F338" s="471">
        <f t="shared" si="96"/>
        <v>8</v>
      </c>
      <c r="G338" s="663">
        <f t="shared" si="96"/>
        <v>3</v>
      </c>
      <c r="H338" s="488">
        <f t="shared" si="96"/>
        <v>6</v>
      </c>
      <c r="I338" s="488">
        <f t="shared" si="96"/>
        <v>4</v>
      </c>
      <c r="J338" s="488">
        <f t="shared" si="96"/>
        <v>13</v>
      </c>
      <c r="K338" s="488">
        <f>SUM(K333:K337)</f>
        <v>7</v>
      </c>
      <c r="L338" s="488">
        <f>SUM(L333:L337)</f>
        <v>14</v>
      </c>
      <c r="M338" s="488">
        <f>SUM(M333:M337)</f>
        <v>8</v>
      </c>
      <c r="N338" s="488">
        <f>SUM(N333:N337)</f>
        <v>7</v>
      </c>
      <c r="O338" s="488">
        <f t="shared" si="95"/>
        <v>9.8000000000000007</v>
      </c>
      <c r="P338" s="494">
        <f>SUM(P333:P337)</f>
        <v>1.6404419149648478E-2</v>
      </c>
    </row>
    <row r="339" spans="1:16" x14ac:dyDescent="0.25">
      <c r="A339" s="492" t="s">
        <v>317</v>
      </c>
      <c r="B339" s="470" t="s">
        <v>853</v>
      </c>
      <c r="C339" s="470" t="s">
        <v>585</v>
      </c>
      <c r="D339" s="470" t="s">
        <v>1307</v>
      </c>
      <c r="E339" s="662" t="s">
        <v>560</v>
      </c>
      <c r="F339" s="470" t="s">
        <v>866</v>
      </c>
      <c r="G339" s="662" t="s">
        <v>620</v>
      </c>
      <c r="H339" s="489" t="s">
        <v>720</v>
      </c>
      <c r="I339" s="487" t="s">
        <v>915</v>
      </c>
      <c r="J339" s="487" t="s">
        <v>1364</v>
      </c>
      <c r="K339" s="487" t="s">
        <v>1385</v>
      </c>
      <c r="L339" s="487" t="s">
        <v>1386</v>
      </c>
      <c r="M339" s="1429" t="s">
        <v>1387</v>
      </c>
      <c r="N339" s="1429" t="s">
        <v>1535</v>
      </c>
      <c r="O339" s="489" t="s">
        <v>30</v>
      </c>
      <c r="P339" s="489" t="s">
        <v>31</v>
      </c>
    </row>
    <row r="340" spans="1:16" x14ac:dyDescent="0.25">
      <c r="A340" s="469" t="s">
        <v>1431</v>
      </c>
      <c r="B340" s="1178">
        <v>0</v>
      </c>
      <c r="C340" s="1178">
        <v>0</v>
      </c>
      <c r="D340" s="1178">
        <v>0</v>
      </c>
      <c r="E340" s="1179">
        <v>0</v>
      </c>
      <c r="F340" s="1178">
        <v>0</v>
      </c>
      <c r="G340" s="1179">
        <v>0</v>
      </c>
      <c r="H340" s="1180">
        <v>0</v>
      </c>
      <c r="I340" s="1180">
        <v>0</v>
      </c>
      <c r="J340" s="1180">
        <v>0</v>
      </c>
      <c r="K340" s="1180">
        <v>0</v>
      </c>
      <c r="L340" s="1180">
        <v>0</v>
      </c>
      <c r="M340" s="1180">
        <v>2</v>
      </c>
      <c r="N340" s="1180">
        <v>3</v>
      </c>
      <c r="O340" s="488">
        <f t="shared" ref="O340:O352" si="97">AVERAGE(J340:N340)</f>
        <v>1</v>
      </c>
      <c r="P340" s="1182">
        <f t="shared" ref="P340:P351" si="98">+O340/$O$452</f>
        <v>1.6739203213927017E-3</v>
      </c>
    </row>
    <row r="341" spans="1:16" x14ac:dyDescent="0.25">
      <c r="A341" s="1186" t="s">
        <v>318</v>
      </c>
      <c r="B341" s="1178">
        <v>1</v>
      </c>
      <c r="C341" s="1178">
        <v>0</v>
      </c>
      <c r="D341" s="1178">
        <v>0</v>
      </c>
      <c r="E341" s="1179">
        <v>0</v>
      </c>
      <c r="F341" s="1178">
        <v>0</v>
      </c>
      <c r="G341" s="1179">
        <v>0</v>
      </c>
      <c r="H341" s="1180">
        <v>0</v>
      </c>
      <c r="I341" s="1180">
        <v>0</v>
      </c>
      <c r="J341" s="1180">
        <v>0</v>
      </c>
      <c r="K341" s="1180">
        <v>1</v>
      </c>
      <c r="L341" s="1180">
        <v>0</v>
      </c>
      <c r="M341" s="1180">
        <v>0</v>
      </c>
      <c r="N341" s="1180">
        <v>0</v>
      </c>
      <c r="O341" s="488">
        <f t="shared" si="97"/>
        <v>0.2</v>
      </c>
      <c r="P341" s="1182">
        <f t="shared" si="98"/>
        <v>3.3478406427854036E-4</v>
      </c>
    </row>
    <row r="342" spans="1:16" x14ac:dyDescent="0.25">
      <c r="A342" s="1186" t="s">
        <v>319</v>
      </c>
      <c r="B342" s="1178">
        <v>1</v>
      </c>
      <c r="C342" s="1178">
        <v>0</v>
      </c>
      <c r="D342" s="1178">
        <v>0</v>
      </c>
      <c r="E342" s="1179">
        <v>0</v>
      </c>
      <c r="F342" s="1178">
        <v>0</v>
      </c>
      <c r="G342" s="1179">
        <v>0</v>
      </c>
      <c r="H342" s="1180">
        <v>1</v>
      </c>
      <c r="I342" s="1180">
        <v>0</v>
      </c>
      <c r="J342" s="1180">
        <v>1</v>
      </c>
      <c r="K342" s="1180">
        <v>0</v>
      </c>
      <c r="L342" s="1180">
        <v>0</v>
      </c>
      <c r="M342" s="1180">
        <v>0</v>
      </c>
      <c r="N342" s="1180">
        <v>0</v>
      </c>
      <c r="O342" s="488">
        <f t="shared" si="97"/>
        <v>0.2</v>
      </c>
      <c r="P342" s="1182">
        <f t="shared" si="98"/>
        <v>3.3478406427854036E-4</v>
      </c>
    </row>
    <row r="343" spans="1:16" x14ac:dyDescent="0.25">
      <c r="A343" s="1186" t="s">
        <v>320</v>
      </c>
      <c r="B343" s="1178">
        <v>4</v>
      </c>
      <c r="C343" s="1178">
        <v>0</v>
      </c>
      <c r="D343" s="1178">
        <v>1</v>
      </c>
      <c r="E343" s="1179">
        <v>0</v>
      </c>
      <c r="F343" s="1178">
        <v>0</v>
      </c>
      <c r="G343" s="1179">
        <v>0</v>
      </c>
      <c r="H343" s="1180">
        <v>0</v>
      </c>
      <c r="I343" s="1180">
        <v>2</v>
      </c>
      <c r="J343" s="1180">
        <v>3</v>
      </c>
      <c r="K343" s="1180">
        <v>2</v>
      </c>
      <c r="L343" s="1180">
        <v>2</v>
      </c>
      <c r="M343" s="1181">
        <v>2</v>
      </c>
      <c r="N343" s="1181">
        <v>3</v>
      </c>
      <c r="O343" s="488">
        <f t="shared" si="97"/>
        <v>2.4</v>
      </c>
      <c r="P343" s="1182">
        <f t="shared" si="98"/>
        <v>4.0174087713424839E-3</v>
      </c>
    </row>
    <row r="344" spans="1:16" x14ac:dyDescent="0.25">
      <c r="A344" s="1186" t="s">
        <v>321</v>
      </c>
      <c r="B344" s="1178">
        <v>0</v>
      </c>
      <c r="C344" s="1178">
        <v>0</v>
      </c>
      <c r="D344" s="1178">
        <v>0</v>
      </c>
      <c r="E344" s="1179">
        <v>0</v>
      </c>
      <c r="F344" s="1178">
        <v>0</v>
      </c>
      <c r="G344" s="1179">
        <v>0</v>
      </c>
      <c r="H344" s="1180">
        <v>0</v>
      </c>
      <c r="I344" s="1180">
        <v>0</v>
      </c>
      <c r="J344" s="1180">
        <v>0</v>
      </c>
      <c r="K344" s="1180">
        <v>0</v>
      </c>
      <c r="L344" s="1180">
        <v>0</v>
      </c>
      <c r="M344" s="1181">
        <v>0</v>
      </c>
      <c r="N344" s="1181">
        <v>0</v>
      </c>
      <c r="O344" s="488">
        <f t="shared" si="97"/>
        <v>0</v>
      </c>
      <c r="P344" s="1182">
        <f t="shared" si="98"/>
        <v>0</v>
      </c>
    </row>
    <row r="345" spans="1:16" x14ac:dyDescent="0.25">
      <c r="A345" s="1186" t="s">
        <v>322</v>
      </c>
      <c r="B345" s="1178">
        <v>1</v>
      </c>
      <c r="C345" s="1178">
        <v>2</v>
      </c>
      <c r="D345" s="1178">
        <v>0</v>
      </c>
      <c r="E345" s="1179">
        <v>1</v>
      </c>
      <c r="F345" s="1178">
        <v>0</v>
      </c>
      <c r="G345" s="1179">
        <v>0</v>
      </c>
      <c r="H345" s="1180">
        <v>0</v>
      </c>
      <c r="I345" s="1180">
        <v>1</v>
      </c>
      <c r="J345" s="1180">
        <v>0</v>
      </c>
      <c r="K345" s="1180">
        <v>0</v>
      </c>
      <c r="L345" s="1180">
        <v>0</v>
      </c>
      <c r="M345" s="1181">
        <v>0</v>
      </c>
      <c r="N345" s="1181">
        <v>1</v>
      </c>
      <c r="O345" s="488">
        <f t="shared" si="97"/>
        <v>0.2</v>
      </c>
      <c r="P345" s="1182">
        <f t="shared" si="98"/>
        <v>3.3478406427854036E-4</v>
      </c>
    </row>
    <row r="346" spans="1:16" x14ac:dyDescent="0.25">
      <c r="A346" s="1186" t="s">
        <v>323</v>
      </c>
      <c r="B346" s="1178">
        <v>1</v>
      </c>
      <c r="C346" s="1178">
        <v>0</v>
      </c>
      <c r="D346" s="1178">
        <v>0</v>
      </c>
      <c r="E346" s="1179">
        <v>1</v>
      </c>
      <c r="F346" s="1178">
        <v>0</v>
      </c>
      <c r="G346" s="1179">
        <v>0</v>
      </c>
      <c r="H346" s="1180">
        <v>0</v>
      </c>
      <c r="I346" s="1180">
        <v>0</v>
      </c>
      <c r="J346" s="1180">
        <v>0</v>
      </c>
      <c r="K346" s="1180">
        <v>0</v>
      </c>
      <c r="L346" s="1180">
        <v>0</v>
      </c>
      <c r="M346" s="1181">
        <v>0</v>
      </c>
      <c r="N346" s="1181">
        <v>0</v>
      </c>
      <c r="O346" s="488">
        <f t="shared" si="97"/>
        <v>0</v>
      </c>
      <c r="P346" s="1182">
        <f t="shared" si="98"/>
        <v>0</v>
      </c>
    </row>
    <row r="347" spans="1:16" x14ac:dyDescent="0.25">
      <c r="A347" s="1186" t="s">
        <v>324</v>
      </c>
      <c r="B347" s="1178">
        <v>0</v>
      </c>
      <c r="C347" s="1178">
        <v>1</v>
      </c>
      <c r="D347" s="1178">
        <v>0</v>
      </c>
      <c r="E347" s="1179">
        <v>0</v>
      </c>
      <c r="F347" s="1178">
        <v>0</v>
      </c>
      <c r="G347" s="1179">
        <v>0</v>
      </c>
      <c r="H347" s="1180">
        <v>0</v>
      </c>
      <c r="I347" s="1180">
        <v>0</v>
      </c>
      <c r="J347" s="1180">
        <v>0</v>
      </c>
      <c r="K347" s="1180">
        <v>0</v>
      </c>
      <c r="L347" s="1180">
        <v>1</v>
      </c>
      <c r="M347" s="1181">
        <v>0</v>
      </c>
      <c r="N347" s="1181">
        <v>0</v>
      </c>
      <c r="O347" s="488">
        <f t="shared" si="97"/>
        <v>0.2</v>
      </c>
      <c r="P347" s="1182">
        <f t="shared" si="98"/>
        <v>3.3478406427854036E-4</v>
      </c>
    </row>
    <row r="348" spans="1:16" x14ac:dyDescent="0.25">
      <c r="A348" s="1186" t="s">
        <v>728</v>
      </c>
      <c r="B348" s="1178"/>
      <c r="C348" s="1178">
        <v>0</v>
      </c>
      <c r="D348" s="1178">
        <v>0</v>
      </c>
      <c r="E348" s="1179">
        <v>0</v>
      </c>
      <c r="F348" s="1178">
        <v>0</v>
      </c>
      <c r="G348" s="1179">
        <v>0</v>
      </c>
      <c r="H348" s="1180">
        <v>1</v>
      </c>
      <c r="I348" s="1180">
        <v>0</v>
      </c>
      <c r="J348" s="1180">
        <v>0</v>
      </c>
      <c r="K348" s="1180">
        <v>0</v>
      </c>
      <c r="L348" s="1180">
        <v>2</v>
      </c>
      <c r="M348" s="1181">
        <v>0</v>
      </c>
      <c r="N348" s="1181">
        <v>0</v>
      </c>
      <c r="O348" s="488">
        <f t="shared" si="97"/>
        <v>0.4</v>
      </c>
      <c r="P348" s="1182">
        <f t="shared" si="98"/>
        <v>6.6956812855708072E-4</v>
      </c>
    </row>
    <row r="349" spans="1:16" x14ac:dyDescent="0.25">
      <c r="A349" s="1186" t="s">
        <v>325</v>
      </c>
      <c r="B349" s="1178">
        <v>0</v>
      </c>
      <c r="C349" s="1178">
        <v>0</v>
      </c>
      <c r="D349" s="1178">
        <v>0</v>
      </c>
      <c r="E349" s="1179">
        <v>0</v>
      </c>
      <c r="F349" s="1178">
        <v>0</v>
      </c>
      <c r="G349" s="1179">
        <v>0</v>
      </c>
      <c r="H349" s="1180">
        <v>0</v>
      </c>
      <c r="I349" s="1180">
        <v>1</v>
      </c>
      <c r="J349" s="1180">
        <v>2</v>
      </c>
      <c r="K349" s="1180">
        <v>0</v>
      </c>
      <c r="L349" s="1180">
        <v>0</v>
      </c>
      <c r="M349" s="1181">
        <v>0</v>
      </c>
      <c r="N349" s="1181">
        <v>1</v>
      </c>
      <c r="O349" s="488">
        <f t="shared" si="97"/>
        <v>0.6</v>
      </c>
      <c r="P349" s="1182">
        <f t="shared" si="98"/>
        <v>1.004352192835621E-3</v>
      </c>
    </row>
    <row r="350" spans="1:16" x14ac:dyDescent="0.25">
      <c r="A350" s="1186" t="s">
        <v>326</v>
      </c>
      <c r="B350" s="1178">
        <v>0</v>
      </c>
      <c r="C350" s="1178">
        <v>0</v>
      </c>
      <c r="D350" s="1178">
        <v>1</v>
      </c>
      <c r="E350" s="1179">
        <v>0</v>
      </c>
      <c r="F350" s="1178">
        <v>0</v>
      </c>
      <c r="G350" s="1179">
        <v>2</v>
      </c>
      <c r="H350" s="1180">
        <v>0</v>
      </c>
      <c r="I350" s="1180">
        <v>1</v>
      </c>
      <c r="J350" s="1180">
        <v>0</v>
      </c>
      <c r="K350" s="1180">
        <v>0</v>
      </c>
      <c r="L350" s="1180">
        <v>0</v>
      </c>
      <c r="M350" s="1181">
        <v>0</v>
      </c>
      <c r="N350" s="1181">
        <v>0</v>
      </c>
      <c r="O350" s="488">
        <f t="shared" si="97"/>
        <v>0</v>
      </c>
      <c r="P350" s="1182">
        <f t="shared" si="98"/>
        <v>0</v>
      </c>
    </row>
    <row r="351" spans="1:16" x14ac:dyDescent="0.25">
      <c r="A351" s="1186" t="s">
        <v>327</v>
      </c>
      <c r="B351" s="1178">
        <v>0</v>
      </c>
      <c r="C351" s="1178">
        <v>0</v>
      </c>
      <c r="D351" s="1178">
        <v>1</v>
      </c>
      <c r="E351" s="1179">
        <v>2</v>
      </c>
      <c r="F351" s="1178">
        <v>0</v>
      </c>
      <c r="G351" s="1179">
        <v>1</v>
      </c>
      <c r="H351" s="1180">
        <v>1</v>
      </c>
      <c r="I351" s="1180">
        <v>4</v>
      </c>
      <c r="J351" s="1180">
        <v>0</v>
      </c>
      <c r="K351" s="1180">
        <v>3</v>
      </c>
      <c r="L351" s="1180">
        <v>2</v>
      </c>
      <c r="M351" s="1181">
        <v>2</v>
      </c>
      <c r="N351" s="1181">
        <v>4</v>
      </c>
      <c r="O351" s="488">
        <f t="shared" si="97"/>
        <v>2.2000000000000002</v>
      </c>
      <c r="P351" s="1182">
        <f t="shared" si="98"/>
        <v>3.6826247070639441E-3</v>
      </c>
    </row>
    <row r="352" spans="1:16" x14ac:dyDescent="0.25">
      <c r="A352" s="495" t="s">
        <v>35</v>
      </c>
      <c r="B352" s="471">
        <f t="shared" ref="B352:J352" si="99">SUM(B340:B351)</f>
        <v>8</v>
      </c>
      <c r="C352" s="471">
        <f t="shared" si="99"/>
        <v>3</v>
      </c>
      <c r="D352" s="471">
        <f t="shared" si="99"/>
        <v>3</v>
      </c>
      <c r="E352" s="663">
        <f t="shared" si="99"/>
        <v>4</v>
      </c>
      <c r="F352" s="471">
        <f t="shared" si="99"/>
        <v>0</v>
      </c>
      <c r="G352" s="663">
        <f t="shared" si="99"/>
        <v>3</v>
      </c>
      <c r="H352" s="488">
        <f t="shared" si="99"/>
        <v>3</v>
      </c>
      <c r="I352" s="488">
        <f t="shared" si="99"/>
        <v>9</v>
      </c>
      <c r="J352" s="488">
        <f t="shared" si="99"/>
        <v>6</v>
      </c>
      <c r="K352" s="488">
        <f>SUM(K340:K351)</f>
        <v>6</v>
      </c>
      <c r="L352" s="488">
        <f>SUM(L340:L351)</f>
        <v>7</v>
      </c>
      <c r="M352" s="488">
        <f>SUM(M340:M351)</f>
        <v>6</v>
      </c>
      <c r="N352" s="488">
        <f>SUM(N340:N351)</f>
        <v>12</v>
      </c>
      <c r="O352" s="488">
        <f t="shared" si="97"/>
        <v>7.4</v>
      </c>
      <c r="P352" s="494">
        <f>SUM(P340:P351)</f>
        <v>1.2387010378305993E-2</v>
      </c>
    </row>
    <row r="353" spans="1:16" x14ac:dyDescent="0.25">
      <c r="A353" s="492" t="s">
        <v>328</v>
      </c>
      <c r="B353" s="470" t="s">
        <v>853</v>
      </c>
      <c r="C353" s="470" t="s">
        <v>585</v>
      </c>
      <c r="D353" s="470" t="s">
        <v>1307</v>
      </c>
      <c r="E353" s="662" t="s">
        <v>560</v>
      </c>
      <c r="F353" s="470" t="s">
        <v>866</v>
      </c>
      <c r="G353" s="662" t="s">
        <v>620</v>
      </c>
      <c r="H353" s="489" t="s">
        <v>720</v>
      </c>
      <c r="I353" s="487" t="s">
        <v>915</v>
      </c>
      <c r="J353" s="487" t="s">
        <v>1364</v>
      </c>
      <c r="K353" s="487" t="s">
        <v>1385</v>
      </c>
      <c r="L353" s="487" t="s">
        <v>1386</v>
      </c>
      <c r="M353" s="1429" t="s">
        <v>1387</v>
      </c>
      <c r="N353" s="1429" t="s">
        <v>1535</v>
      </c>
      <c r="O353" s="489" t="s">
        <v>30</v>
      </c>
      <c r="P353" s="489" t="s">
        <v>31</v>
      </c>
    </row>
    <row r="354" spans="1:16" x14ac:dyDescent="0.25">
      <c r="A354" s="1186" t="s">
        <v>329</v>
      </c>
      <c r="B354" s="1178">
        <v>0</v>
      </c>
      <c r="C354" s="1178">
        <v>1</v>
      </c>
      <c r="D354" s="1178">
        <v>3</v>
      </c>
      <c r="E354" s="1179">
        <v>1</v>
      </c>
      <c r="F354" s="1178">
        <v>3</v>
      </c>
      <c r="G354" s="1179">
        <v>4</v>
      </c>
      <c r="H354" s="1180">
        <v>2</v>
      </c>
      <c r="I354" s="1180">
        <v>1</v>
      </c>
      <c r="J354" s="1180">
        <v>1</v>
      </c>
      <c r="K354" s="1180">
        <v>1</v>
      </c>
      <c r="L354" s="1180">
        <v>0</v>
      </c>
      <c r="M354" s="1181">
        <v>5</v>
      </c>
      <c r="N354" s="1181">
        <v>1</v>
      </c>
      <c r="O354" s="488">
        <f t="shared" ref="O354:O359" si="100">AVERAGE(J354:N354)</f>
        <v>1.6</v>
      </c>
      <c r="P354" s="1182">
        <f>+O354/$O$452</f>
        <v>2.6782725142283229E-3</v>
      </c>
    </row>
    <row r="355" spans="1:16" x14ac:dyDescent="0.25">
      <c r="A355" s="469" t="s">
        <v>1432</v>
      </c>
      <c r="B355" s="1178">
        <v>0</v>
      </c>
      <c r="C355" s="1178">
        <v>0</v>
      </c>
      <c r="D355" s="1178">
        <v>0</v>
      </c>
      <c r="E355" s="1179">
        <v>0</v>
      </c>
      <c r="F355" s="1178">
        <v>0</v>
      </c>
      <c r="G355" s="1179">
        <v>0</v>
      </c>
      <c r="H355" s="1180">
        <v>0</v>
      </c>
      <c r="I355" s="1180">
        <v>0</v>
      </c>
      <c r="J355" s="1180">
        <v>0</v>
      </c>
      <c r="K355" s="1180">
        <v>0</v>
      </c>
      <c r="L355" s="1180">
        <v>0</v>
      </c>
      <c r="M355" s="1181">
        <v>1</v>
      </c>
      <c r="N355" s="1181">
        <v>0</v>
      </c>
      <c r="O355" s="488">
        <f t="shared" si="100"/>
        <v>0.2</v>
      </c>
      <c r="P355" s="1182">
        <f>+O355/$O$452</f>
        <v>3.3478406427854036E-4</v>
      </c>
    </row>
    <row r="356" spans="1:16" x14ac:dyDescent="0.25">
      <c r="A356" s="1186" t="s">
        <v>330</v>
      </c>
      <c r="B356" s="1178">
        <v>4</v>
      </c>
      <c r="C356" s="1178">
        <v>4</v>
      </c>
      <c r="D356" s="1178">
        <v>2</v>
      </c>
      <c r="E356" s="1179">
        <v>1</v>
      </c>
      <c r="F356" s="1178">
        <v>4</v>
      </c>
      <c r="G356" s="1179">
        <v>4</v>
      </c>
      <c r="H356" s="1180">
        <v>0</v>
      </c>
      <c r="I356" s="1180">
        <v>2</v>
      </c>
      <c r="J356" s="1180">
        <v>0</v>
      </c>
      <c r="K356" s="1180">
        <v>1</v>
      </c>
      <c r="L356" s="1180">
        <v>2</v>
      </c>
      <c r="M356" s="1181">
        <v>3</v>
      </c>
      <c r="N356" s="1181">
        <v>2</v>
      </c>
      <c r="O356" s="488">
        <f t="shared" si="100"/>
        <v>1.6</v>
      </c>
      <c r="P356" s="1182">
        <f>+O356/$O$452</f>
        <v>2.6782725142283229E-3</v>
      </c>
    </row>
    <row r="357" spans="1:16" x14ac:dyDescent="0.25">
      <c r="A357" s="1186" t="s">
        <v>331</v>
      </c>
      <c r="B357" s="1178">
        <v>3</v>
      </c>
      <c r="C357" s="1178">
        <v>3</v>
      </c>
      <c r="D357" s="1178">
        <v>0</v>
      </c>
      <c r="E357" s="1179">
        <v>3</v>
      </c>
      <c r="F357" s="1178">
        <v>2</v>
      </c>
      <c r="G357" s="1179">
        <v>0</v>
      </c>
      <c r="H357" s="1180">
        <v>4</v>
      </c>
      <c r="I357" s="1180">
        <v>0</v>
      </c>
      <c r="J357" s="1180">
        <v>1</v>
      </c>
      <c r="K357" s="1180">
        <v>4</v>
      </c>
      <c r="L357" s="1180">
        <v>4</v>
      </c>
      <c r="M357" s="1181">
        <v>4</v>
      </c>
      <c r="N357" s="1181">
        <v>1</v>
      </c>
      <c r="O357" s="488">
        <f t="shared" si="100"/>
        <v>2.8</v>
      </c>
      <c r="P357" s="1182">
        <f>+O357/$O$452</f>
        <v>4.6869768998995644E-3</v>
      </c>
    </row>
    <row r="358" spans="1:16" x14ac:dyDescent="0.25">
      <c r="A358" s="1186" t="s">
        <v>332</v>
      </c>
      <c r="B358" s="1178">
        <v>2</v>
      </c>
      <c r="C358" s="1178">
        <v>0</v>
      </c>
      <c r="D358" s="1178">
        <v>9</v>
      </c>
      <c r="E358" s="1179">
        <v>1</v>
      </c>
      <c r="F358" s="1178">
        <v>2</v>
      </c>
      <c r="G358" s="1179">
        <v>3</v>
      </c>
      <c r="H358" s="1180">
        <v>1</v>
      </c>
      <c r="I358" s="1180">
        <v>2</v>
      </c>
      <c r="J358" s="1180">
        <v>1</v>
      </c>
      <c r="K358" s="1180">
        <v>3</v>
      </c>
      <c r="L358" s="1180">
        <v>1</v>
      </c>
      <c r="M358" s="1181">
        <v>1</v>
      </c>
      <c r="N358" s="1181">
        <v>0</v>
      </c>
      <c r="O358" s="488">
        <f t="shared" si="100"/>
        <v>1.2</v>
      </c>
      <c r="P358" s="1182">
        <f>+O358/$O$452</f>
        <v>2.0087043856712419E-3</v>
      </c>
    </row>
    <row r="359" spans="1:16" x14ac:dyDescent="0.25">
      <c r="A359" s="495" t="s">
        <v>35</v>
      </c>
      <c r="B359" s="471">
        <f t="shared" ref="B359:J359" si="101">SUM(B354:B358)</f>
        <v>9</v>
      </c>
      <c r="C359" s="471">
        <f t="shared" si="101"/>
        <v>8</v>
      </c>
      <c r="D359" s="471">
        <f t="shared" si="101"/>
        <v>14</v>
      </c>
      <c r="E359" s="663">
        <f t="shared" si="101"/>
        <v>6</v>
      </c>
      <c r="F359" s="471">
        <f t="shared" si="101"/>
        <v>11</v>
      </c>
      <c r="G359" s="663">
        <f t="shared" si="101"/>
        <v>11</v>
      </c>
      <c r="H359" s="488">
        <f t="shared" si="101"/>
        <v>7</v>
      </c>
      <c r="I359" s="488">
        <f t="shared" si="101"/>
        <v>5</v>
      </c>
      <c r="J359" s="488">
        <f t="shared" si="101"/>
        <v>3</v>
      </c>
      <c r="K359" s="488">
        <f>SUM(K354:K358)</f>
        <v>9</v>
      </c>
      <c r="L359" s="488">
        <f>SUM(L354:L358)</f>
        <v>7</v>
      </c>
      <c r="M359" s="488">
        <f>SUM(M354:M358)</f>
        <v>14</v>
      </c>
      <c r="N359" s="488">
        <f>SUM(N354:N358)</f>
        <v>4</v>
      </c>
      <c r="O359" s="488">
        <f t="shared" si="100"/>
        <v>7.4</v>
      </c>
      <c r="P359" s="494">
        <f>SUM(P354:P358)</f>
        <v>1.2387010378305991E-2</v>
      </c>
    </row>
    <row r="360" spans="1:16" x14ac:dyDescent="0.25">
      <c r="A360" s="492" t="s">
        <v>333</v>
      </c>
      <c r="B360" s="470" t="s">
        <v>853</v>
      </c>
      <c r="C360" s="470" t="s">
        <v>585</v>
      </c>
      <c r="D360" s="470" t="s">
        <v>1307</v>
      </c>
      <c r="E360" s="662" t="s">
        <v>560</v>
      </c>
      <c r="F360" s="470" t="s">
        <v>866</v>
      </c>
      <c r="G360" s="662" t="s">
        <v>620</v>
      </c>
      <c r="H360" s="489" t="s">
        <v>720</v>
      </c>
      <c r="I360" s="487" t="s">
        <v>915</v>
      </c>
      <c r="J360" s="487" t="s">
        <v>1364</v>
      </c>
      <c r="K360" s="487" t="s">
        <v>1385</v>
      </c>
      <c r="L360" s="487" t="s">
        <v>1386</v>
      </c>
      <c r="M360" s="1429" t="s">
        <v>1387</v>
      </c>
      <c r="N360" s="1429" t="s">
        <v>1535</v>
      </c>
      <c r="O360" s="489" t="s">
        <v>30</v>
      </c>
      <c r="P360" s="489" t="s">
        <v>31</v>
      </c>
    </row>
    <row r="361" spans="1:16" x14ac:dyDescent="0.25">
      <c r="A361" s="1186" t="s">
        <v>334</v>
      </c>
      <c r="B361" s="1178">
        <v>0</v>
      </c>
      <c r="C361" s="1178">
        <v>0</v>
      </c>
      <c r="D361" s="1178">
        <v>0</v>
      </c>
      <c r="E361" s="1179">
        <v>0</v>
      </c>
      <c r="F361" s="1178">
        <v>0</v>
      </c>
      <c r="G361" s="1179">
        <v>0</v>
      </c>
      <c r="H361" s="1180">
        <v>0</v>
      </c>
      <c r="I361" s="1180">
        <v>0</v>
      </c>
      <c r="J361" s="1180">
        <v>0</v>
      </c>
      <c r="K361" s="1180">
        <v>0</v>
      </c>
      <c r="L361" s="1197">
        <v>0</v>
      </c>
      <c r="M361" s="1181">
        <v>0</v>
      </c>
      <c r="N361" s="1181">
        <v>0</v>
      </c>
      <c r="O361" s="488">
        <f t="shared" ref="O361:O386" si="102">AVERAGE(J361:N361)</f>
        <v>0</v>
      </c>
      <c r="P361" s="1182">
        <f t="shared" ref="P361:P385" si="103">+O361/$O$452</f>
        <v>0</v>
      </c>
    </row>
    <row r="362" spans="1:16" x14ac:dyDescent="0.25">
      <c r="A362" s="1186" t="s">
        <v>335</v>
      </c>
      <c r="B362" s="1178">
        <v>1</v>
      </c>
      <c r="C362" s="1178">
        <v>0</v>
      </c>
      <c r="D362" s="1178">
        <v>2</v>
      </c>
      <c r="E362" s="1179">
        <v>2</v>
      </c>
      <c r="F362" s="1178">
        <v>6</v>
      </c>
      <c r="G362" s="1179">
        <v>2</v>
      </c>
      <c r="H362" s="1180">
        <v>6</v>
      </c>
      <c r="I362" s="1180">
        <v>2</v>
      </c>
      <c r="J362" s="1180">
        <v>1</v>
      </c>
      <c r="K362" s="1180">
        <v>4</v>
      </c>
      <c r="L362" s="1180">
        <v>5</v>
      </c>
      <c r="M362" s="1181">
        <v>5</v>
      </c>
      <c r="N362" s="1181">
        <v>3</v>
      </c>
      <c r="O362" s="488">
        <f t="shared" si="102"/>
        <v>3.6</v>
      </c>
      <c r="P362" s="1182">
        <f t="shared" si="103"/>
        <v>6.0261131570137263E-3</v>
      </c>
    </row>
    <row r="363" spans="1:16" x14ac:dyDescent="0.25">
      <c r="A363" s="1186" t="s">
        <v>336</v>
      </c>
      <c r="B363" s="1178">
        <v>0</v>
      </c>
      <c r="C363" s="1178">
        <v>2</v>
      </c>
      <c r="D363" s="1178">
        <v>2</v>
      </c>
      <c r="E363" s="1179">
        <v>1</v>
      </c>
      <c r="F363" s="1178">
        <v>0</v>
      </c>
      <c r="G363" s="1179">
        <v>0</v>
      </c>
      <c r="H363" s="1180">
        <v>1</v>
      </c>
      <c r="I363" s="1180">
        <v>1</v>
      </c>
      <c r="J363" s="1180">
        <v>1</v>
      </c>
      <c r="K363" s="1180">
        <v>0</v>
      </c>
      <c r="L363" s="1180">
        <v>0</v>
      </c>
      <c r="M363" s="1181">
        <v>0</v>
      </c>
      <c r="N363" s="1181">
        <v>1</v>
      </c>
      <c r="O363" s="488">
        <f t="shared" si="102"/>
        <v>0.4</v>
      </c>
      <c r="P363" s="1182">
        <f t="shared" si="103"/>
        <v>6.6956812855708072E-4</v>
      </c>
    </row>
    <row r="364" spans="1:16" x14ac:dyDescent="0.25">
      <c r="A364" s="469" t="s">
        <v>1433</v>
      </c>
      <c r="B364" s="1178"/>
      <c r="C364" s="1178"/>
      <c r="D364" s="1178"/>
      <c r="E364" s="1179">
        <v>0</v>
      </c>
      <c r="F364" s="1178">
        <v>0</v>
      </c>
      <c r="G364" s="1179">
        <v>0</v>
      </c>
      <c r="H364" s="1180">
        <v>0</v>
      </c>
      <c r="I364" s="1180">
        <v>0</v>
      </c>
      <c r="J364" s="1180">
        <v>4</v>
      </c>
      <c r="K364" s="1180">
        <v>2</v>
      </c>
      <c r="L364" s="1180">
        <v>7</v>
      </c>
      <c r="M364" s="1181">
        <v>3</v>
      </c>
      <c r="N364" s="1181">
        <v>4</v>
      </c>
      <c r="O364" s="488">
        <f t="shared" si="102"/>
        <v>4</v>
      </c>
      <c r="P364" s="1182">
        <f t="shared" si="103"/>
        <v>6.6956812855708068E-3</v>
      </c>
    </row>
    <row r="365" spans="1:16" x14ac:dyDescent="0.25">
      <c r="A365" s="1186" t="s">
        <v>337</v>
      </c>
      <c r="B365" s="1178">
        <v>0</v>
      </c>
      <c r="C365" s="1178">
        <v>0</v>
      </c>
      <c r="D365" s="1178">
        <v>0</v>
      </c>
      <c r="E365" s="1179">
        <v>0</v>
      </c>
      <c r="F365" s="1178">
        <v>0</v>
      </c>
      <c r="G365" s="1179">
        <v>1</v>
      </c>
      <c r="H365" s="1180">
        <v>1</v>
      </c>
      <c r="I365" s="1180">
        <v>0</v>
      </c>
      <c r="J365" s="1180">
        <v>1</v>
      </c>
      <c r="K365" s="1180">
        <v>0</v>
      </c>
      <c r="L365" s="1180">
        <v>3</v>
      </c>
      <c r="M365" s="1181">
        <v>1</v>
      </c>
      <c r="N365" s="1181">
        <v>0</v>
      </c>
      <c r="O365" s="488">
        <f t="shared" si="102"/>
        <v>1</v>
      </c>
      <c r="P365" s="1182">
        <f t="shared" si="103"/>
        <v>1.6739203213927017E-3</v>
      </c>
    </row>
    <row r="366" spans="1:16" x14ac:dyDescent="0.25">
      <c r="A366" s="1186" t="s">
        <v>338</v>
      </c>
      <c r="B366" s="1178">
        <v>1</v>
      </c>
      <c r="C366" s="1178">
        <v>3</v>
      </c>
      <c r="D366" s="1178">
        <v>1</v>
      </c>
      <c r="E366" s="1179">
        <v>0</v>
      </c>
      <c r="F366" s="1178">
        <v>2</v>
      </c>
      <c r="G366" s="1179">
        <v>0</v>
      </c>
      <c r="H366" s="1180">
        <v>1</v>
      </c>
      <c r="I366" s="1180">
        <v>0</v>
      </c>
      <c r="J366" s="1180">
        <v>1</v>
      </c>
      <c r="K366" s="1180">
        <v>0</v>
      </c>
      <c r="L366" s="1180">
        <v>2</v>
      </c>
      <c r="M366" s="1181">
        <v>1</v>
      </c>
      <c r="N366" s="1181">
        <v>1</v>
      </c>
      <c r="O366" s="488">
        <f t="shared" si="102"/>
        <v>1</v>
      </c>
      <c r="P366" s="1182">
        <f t="shared" si="103"/>
        <v>1.6739203213927017E-3</v>
      </c>
    </row>
    <row r="367" spans="1:16" x14ac:dyDescent="0.25">
      <c r="A367" s="1186" t="s">
        <v>339</v>
      </c>
      <c r="B367" s="1178">
        <v>0</v>
      </c>
      <c r="C367" s="1178">
        <v>0</v>
      </c>
      <c r="D367" s="1178">
        <v>0</v>
      </c>
      <c r="E367" s="1179">
        <v>3</v>
      </c>
      <c r="F367" s="1178">
        <v>1</v>
      </c>
      <c r="G367" s="1179">
        <v>1</v>
      </c>
      <c r="H367" s="1180">
        <v>0</v>
      </c>
      <c r="I367" s="1180">
        <v>0</v>
      </c>
      <c r="J367" s="1180">
        <v>1</v>
      </c>
      <c r="K367" s="1180">
        <v>0</v>
      </c>
      <c r="L367" s="1180">
        <v>1</v>
      </c>
      <c r="M367" s="1181">
        <v>1</v>
      </c>
      <c r="N367" s="1181">
        <v>2</v>
      </c>
      <c r="O367" s="488">
        <f t="shared" si="102"/>
        <v>1</v>
      </c>
      <c r="P367" s="1182">
        <f t="shared" si="103"/>
        <v>1.6739203213927017E-3</v>
      </c>
    </row>
    <row r="368" spans="1:16" x14ac:dyDescent="0.25">
      <c r="A368" s="1186" t="s">
        <v>1027</v>
      </c>
      <c r="B368" s="1178">
        <v>0</v>
      </c>
      <c r="C368" s="1178">
        <v>0</v>
      </c>
      <c r="D368" s="1178">
        <v>0</v>
      </c>
      <c r="E368" s="1179">
        <v>0</v>
      </c>
      <c r="F368" s="1178">
        <v>1</v>
      </c>
      <c r="G368" s="1179">
        <v>0</v>
      </c>
      <c r="H368" s="1180">
        <v>0</v>
      </c>
      <c r="I368" s="1180">
        <v>0</v>
      </c>
      <c r="J368" s="1180">
        <v>0</v>
      </c>
      <c r="K368" s="1180">
        <v>0</v>
      </c>
      <c r="L368" s="1180">
        <v>0</v>
      </c>
      <c r="M368" s="1181">
        <v>0</v>
      </c>
      <c r="N368" s="1181">
        <v>0</v>
      </c>
      <c r="O368" s="488">
        <f t="shared" si="102"/>
        <v>0</v>
      </c>
      <c r="P368" s="1182">
        <f t="shared" si="103"/>
        <v>0</v>
      </c>
    </row>
    <row r="369" spans="1:16" x14ac:dyDescent="0.25">
      <c r="A369" s="1186" t="s">
        <v>1028</v>
      </c>
      <c r="B369" s="1178">
        <v>0</v>
      </c>
      <c r="C369" s="1178">
        <v>0</v>
      </c>
      <c r="D369" s="1178">
        <v>0</v>
      </c>
      <c r="E369" s="1179">
        <v>0</v>
      </c>
      <c r="F369" s="1178">
        <v>1</v>
      </c>
      <c r="G369" s="1179">
        <v>0</v>
      </c>
      <c r="H369" s="1180">
        <v>0</v>
      </c>
      <c r="I369" s="1180">
        <v>0</v>
      </c>
      <c r="J369" s="1180">
        <v>0</v>
      </c>
      <c r="K369" s="1180">
        <v>0</v>
      </c>
      <c r="L369" s="1180">
        <v>0</v>
      </c>
      <c r="M369" s="1181">
        <v>0</v>
      </c>
      <c r="N369" s="1181">
        <v>1</v>
      </c>
      <c r="O369" s="488">
        <f t="shared" si="102"/>
        <v>0.2</v>
      </c>
      <c r="P369" s="1182">
        <f t="shared" si="103"/>
        <v>3.3478406427854036E-4</v>
      </c>
    </row>
    <row r="370" spans="1:16" x14ac:dyDescent="0.25">
      <c r="A370" s="1186" t="s">
        <v>340</v>
      </c>
      <c r="B370" s="1178">
        <v>4</v>
      </c>
      <c r="C370" s="1178">
        <v>1</v>
      </c>
      <c r="D370" s="1178">
        <v>0</v>
      </c>
      <c r="E370" s="1179">
        <v>1</v>
      </c>
      <c r="F370" s="1178">
        <v>1</v>
      </c>
      <c r="G370" s="1179">
        <v>0</v>
      </c>
      <c r="H370" s="1180">
        <v>2</v>
      </c>
      <c r="I370" s="1180">
        <v>0</v>
      </c>
      <c r="J370" s="1180">
        <v>2</v>
      </c>
      <c r="K370" s="1180">
        <v>0</v>
      </c>
      <c r="L370" s="1180">
        <v>4</v>
      </c>
      <c r="M370" s="1181">
        <v>3</v>
      </c>
      <c r="N370" s="1181">
        <v>2</v>
      </c>
      <c r="O370" s="488">
        <f t="shared" si="102"/>
        <v>2.2000000000000002</v>
      </c>
      <c r="P370" s="1182">
        <f t="shared" si="103"/>
        <v>3.6826247070639441E-3</v>
      </c>
    </row>
    <row r="371" spans="1:16" x14ac:dyDescent="0.25">
      <c r="A371" s="1186" t="s">
        <v>341</v>
      </c>
      <c r="B371" s="1178">
        <v>4</v>
      </c>
      <c r="C371" s="1178">
        <v>1</v>
      </c>
      <c r="D371" s="1178">
        <v>6</v>
      </c>
      <c r="E371" s="1179">
        <v>5</v>
      </c>
      <c r="F371" s="1178">
        <v>2</v>
      </c>
      <c r="G371" s="1179">
        <v>5</v>
      </c>
      <c r="H371" s="1180">
        <v>2</v>
      </c>
      <c r="I371" s="1180">
        <v>5</v>
      </c>
      <c r="J371" s="1180">
        <v>5</v>
      </c>
      <c r="K371" s="1180">
        <v>4</v>
      </c>
      <c r="L371" s="1180">
        <v>5</v>
      </c>
      <c r="M371" s="1181">
        <v>8</v>
      </c>
      <c r="N371" s="1181">
        <v>1</v>
      </c>
      <c r="O371" s="488">
        <f t="shared" si="102"/>
        <v>4.5999999999999996</v>
      </c>
      <c r="P371" s="1182">
        <f t="shared" si="103"/>
        <v>7.7000334784064275E-3</v>
      </c>
    </row>
    <row r="372" spans="1:16" x14ac:dyDescent="0.25">
      <c r="A372" s="1186" t="s">
        <v>342</v>
      </c>
      <c r="B372" s="1178">
        <v>1</v>
      </c>
      <c r="C372" s="1178">
        <v>0</v>
      </c>
      <c r="D372" s="1178">
        <v>1</v>
      </c>
      <c r="E372" s="1179">
        <v>0</v>
      </c>
      <c r="F372" s="1178">
        <v>4</v>
      </c>
      <c r="G372" s="1179">
        <v>0</v>
      </c>
      <c r="H372" s="1180">
        <v>1</v>
      </c>
      <c r="I372" s="1180">
        <v>0</v>
      </c>
      <c r="J372" s="1180">
        <v>0</v>
      </c>
      <c r="K372" s="1180">
        <v>0</v>
      </c>
      <c r="L372" s="1180">
        <v>1</v>
      </c>
      <c r="M372" s="1181">
        <v>5</v>
      </c>
      <c r="N372" s="1181">
        <v>1</v>
      </c>
      <c r="O372" s="488">
        <f t="shared" si="102"/>
        <v>1.4</v>
      </c>
      <c r="P372" s="1182">
        <f t="shared" si="103"/>
        <v>2.3434884499497822E-3</v>
      </c>
    </row>
    <row r="373" spans="1:16" x14ac:dyDescent="0.25">
      <c r="A373" s="1186" t="s">
        <v>343</v>
      </c>
      <c r="B373" s="1178">
        <v>0</v>
      </c>
      <c r="C373" s="1178">
        <v>0</v>
      </c>
      <c r="D373" s="1178">
        <v>0</v>
      </c>
      <c r="E373" s="1179">
        <v>0</v>
      </c>
      <c r="F373" s="1178">
        <v>0</v>
      </c>
      <c r="G373" s="1179">
        <v>0</v>
      </c>
      <c r="H373" s="1180">
        <v>0</v>
      </c>
      <c r="I373" s="1180">
        <v>0</v>
      </c>
      <c r="J373" s="1180">
        <v>0</v>
      </c>
      <c r="K373" s="1180">
        <v>0</v>
      </c>
      <c r="L373" s="1180">
        <v>0</v>
      </c>
      <c r="M373" s="1181">
        <v>0</v>
      </c>
      <c r="N373" s="1181">
        <v>0</v>
      </c>
      <c r="O373" s="488">
        <f t="shared" si="102"/>
        <v>0</v>
      </c>
      <c r="P373" s="1182">
        <f t="shared" si="103"/>
        <v>0</v>
      </c>
    </row>
    <row r="374" spans="1:16" x14ac:dyDescent="0.25">
      <c r="A374" s="1186" t="s">
        <v>344</v>
      </c>
      <c r="B374" s="1178">
        <v>0</v>
      </c>
      <c r="C374" s="1178">
        <v>0</v>
      </c>
      <c r="D374" s="1178">
        <v>0</v>
      </c>
      <c r="E374" s="1179">
        <v>0</v>
      </c>
      <c r="F374" s="1178">
        <v>1</v>
      </c>
      <c r="G374" s="1179">
        <v>0</v>
      </c>
      <c r="H374" s="1180">
        <v>0</v>
      </c>
      <c r="I374" s="1180">
        <v>0</v>
      </c>
      <c r="J374" s="1180">
        <v>0</v>
      </c>
      <c r="K374" s="1180">
        <v>0</v>
      </c>
      <c r="L374" s="1180">
        <v>0</v>
      </c>
      <c r="M374" s="1180">
        <v>0</v>
      </c>
      <c r="N374" s="1180">
        <v>0</v>
      </c>
      <c r="O374" s="488">
        <f t="shared" si="102"/>
        <v>0</v>
      </c>
      <c r="P374" s="1182">
        <f t="shared" si="103"/>
        <v>0</v>
      </c>
    </row>
    <row r="375" spans="1:16" x14ac:dyDescent="0.25">
      <c r="A375" s="1186" t="s">
        <v>345</v>
      </c>
      <c r="B375" s="1178">
        <v>0</v>
      </c>
      <c r="C375" s="1178">
        <v>0</v>
      </c>
      <c r="D375" s="1178">
        <v>0</v>
      </c>
      <c r="E375" s="1179">
        <v>0</v>
      </c>
      <c r="F375" s="1178">
        <v>0</v>
      </c>
      <c r="G375" s="1179">
        <v>0</v>
      </c>
      <c r="H375" s="1180">
        <v>0</v>
      </c>
      <c r="I375" s="1180">
        <v>0</v>
      </c>
      <c r="J375" s="1180">
        <v>1</v>
      </c>
      <c r="K375" s="1180">
        <v>0</v>
      </c>
      <c r="L375" s="1180">
        <v>0</v>
      </c>
      <c r="M375" s="1180">
        <v>0</v>
      </c>
      <c r="N375" s="1180">
        <v>0</v>
      </c>
      <c r="O375" s="488">
        <f t="shared" si="102"/>
        <v>0.2</v>
      </c>
      <c r="P375" s="1182">
        <f t="shared" si="103"/>
        <v>3.3478406427854036E-4</v>
      </c>
    </row>
    <row r="376" spans="1:16" x14ac:dyDescent="0.25">
      <c r="A376" s="1186" t="s">
        <v>346</v>
      </c>
      <c r="B376" s="1178">
        <v>0</v>
      </c>
      <c r="C376" s="1178">
        <v>2</v>
      </c>
      <c r="D376" s="1178">
        <v>2</v>
      </c>
      <c r="E376" s="1179">
        <v>1</v>
      </c>
      <c r="F376" s="1178">
        <v>3</v>
      </c>
      <c r="G376" s="1179">
        <v>1</v>
      </c>
      <c r="H376" s="1180">
        <v>2</v>
      </c>
      <c r="I376" s="1180">
        <v>0</v>
      </c>
      <c r="J376" s="1180">
        <v>2</v>
      </c>
      <c r="K376" s="1180">
        <v>1</v>
      </c>
      <c r="L376" s="1180">
        <v>2</v>
      </c>
      <c r="M376" s="1181">
        <v>3</v>
      </c>
      <c r="N376" s="1181">
        <v>4</v>
      </c>
      <c r="O376" s="488">
        <f t="shared" si="102"/>
        <v>2.4</v>
      </c>
      <c r="P376" s="1182">
        <f t="shared" si="103"/>
        <v>4.0174087713424839E-3</v>
      </c>
    </row>
    <row r="377" spans="1:16" x14ac:dyDescent="0.25">
      <c r="A377" s="1186" t="s">
        <v>347</v>
      </c>
      <c r="B377" s="1178">
        <v>4</v>
      </c>
      <c r="C377" s="1178">
        <v>2</v>
      </c>
      <c r="D377" s="1178">
        <v>5</v>
      </c>
      <c r="E377" s="1179">
        <v>3</v>
      </c>
      <c r="F377" s="1178">
        <v>5</v>
      </c>
      <c r="G377" s="1179">
        <v>1</v>
      </c>
      <c r="H377" s="1180">
        <v>2</v>
      </c>
      <c r="I377" s="1180">
        <v>1</v>
      </c>
      <c r="J377" s="1180">
        <v>2</v>
      </c>
      <c r="K377" s="1180">
        <v>2</v>
      </c>
      <c r="L377" s="1180">
        <v>3</v>
      </c>
      <c r="M377" s="1181">
        <v>1</v>
      </c>
      <c r="N377" s="1181">
        <v>4</v>
      </c>
      <c r="O377" s="488">
        <f t="shared" si="102"/>
        <v>2.4</v>
      </c>
      <c r="P377" s="1182">
        <f t="shared" si="103"/>
        <v>4.0174087713424839E-3</v>
      </c>
    </row>
    <row r="378" spans="1:16" x14ac:dyDescent="0.25">
      <c r="A378" s="469" t="s">
        <v>1434</v>
      </c>
      <c r="B378" s="1178">
        <v>0</v>
      </c>
      <c r="C378" s="1178">
        <v>0</v>
      </c>
      <c r="D378" s="1178">
        <v>0</v>
      </c>
      <c r="E378" s="1179">
        <v>0</v>
      </c>
      <c r="F378" s="1178">
        <v>0</v>
      </c>
      <c r="G378" s="1179">
        <v>0</v>
      </c>
      <c r="H378" s="1180">
        <v>0</v>
      </c>
      <c r="I378" s="1180">
        <v>0</v>
      </c>
      <c r="J378" s="1180">
        <v>0</v>
      </c>
      <c r="K378" s="1180">
        <v>0</v>
      </c>
      <c r="L378" s="1180">
        <v>0</v>
      </c>
      <c r="M378" s="1181">
        <v>1</v>
      </c>
      <c r="N378" s="1181">
        <v>1</v>
      </c>
      <c r="O378" s="488">
        <f t="shared" si="102"/>
        <v>0.4</v>
      </c>
      <c r="P378" s="1182">
        <f t="shared" si="103"/>
        <v>6.6956812855708072E-4</v>
      </c>
    </row>
    <row r="379" spans="1:16" x14ac:dyDescent="0.25">
      <c r="A379" s="1186" t="s">
        <v>348</v>
      </c>
      <c r="B379" s="1178">
        <v>5</v>
      </c>
      <c r="C379" s="1178">
        <v>1</v>
      </c>
      <c r="D379" s="1178">
        <v>0</v>
      </c>
      <c r="E379" s="1179">
        <v>8</v>
      </c>
      <c r="F379" s="1178">
        <v>5</v>
      </c>
      <c r="G379" s="1179">
        <v>2</v>
      </c>
      <c r="H379" s="1180">
        <v>0</v>
      </c>
      <c r="I379" s="1180">
        <v>2</v>
      </c>
      <c r="J379" s="1180">
        <v>2</v>
      </c>
      <c r="K379" s="1180">
        <v>1</v>
      </c>
      <c r="L379" s="1180">
        <v>3</v>
      </c>
      <c r="M379" s="1181">
        <v>3</v>
      </c>
      <c r="N379" s="1181">
        <v>5</v>
      </c>
      <c r="O379" s="488">
        <f t="shared" si="102"/>
        <v>2.8</v>
      </c>
      <c r="P379" s="1182">
        <f t="shared" si="103"/>
        <v>4.6869768998995644E-3</v>
      </c>
    </row>
    <row r="380" spans="1:16" x14ac:dyDescent="0.25">
      <c r="A380" s="469" t="s">
        <v>1435</v>
      </c>
      <c r="B380" s="1178"/>
      <c r="C380" s="1178"/>
      <c r="D380" s="1178"/>
      <c r="E380" s="1179">
        <v>0</v>
      </c>
      <c r="F380" s="1178">
        <v>0</v>
      </c>
      <c r="G380" s="1179">
        <v>0</v>
      </c>
      <c r="H380" s="1180">
        <v>0</v>
      </c>
      <c r="I380" s="1180">
        <v>0</v>
      </c>
      <c r="J380" s="1180">
        <v>2</v>
      </c>
      <c r="K380" s="1180">
        <v>1</v>
      </c>
      <c r="L380" s="1180">
        <v>0</v>
      </c>
      <c r="M380" s="1181">
        <v>2</v>
      </c>
      <c r="N380" s="1181">
        <v>1</v>
      </c>
      <c r="O380" s="488">
        <f t="shared" si="102"/>
        <v>1.2</v>
      </c>
      <c r="P380" s="1182">
        <f t="shared" si="103"/>
        <v>2.0087043856712419E-3</v>
      </c>
    </row>
    <row r="381" spans="1:16" x14ac:dyDescent="0.25">
      <c r="A381" s="1186" t="s">
        <v>349</v>
      </c>
      <c r="B381" s="1178">
        <v>4</v>
      </c>
      <c r="C381" s="1178">
        <v>1</v>
      </c>
      <c r="D381" s="1178">
        <v>1</v>
      </c>
      <c r="E381" s="1179">
        <v>6</v>
      </c>
      <c r="F381" s="1178">
        <v>6</v>
      </c>
      <c r="G381" s="1179">
        <v>3</v>
      </c>
      <c r="H381" s="1180">
        <v>2</v>
      </c>
      <c r="I381" s="1180">
        <v>3</v>
      </c>
      <c r="J381" s="1180">
        <v>1</v>
      </c>
      <c r="K381" s="1180">
        <v>4</v>
      </c>
      <c r="L381" s="1180">
        <v>13</v>
      </c>
      <c r="M381" s="1181">
        <v>13</v>
      </c>
      <c r="N381" s="1181">
        <v>4</v>
      </c>
      <c r="O381" s="488">
        <f t="shared" si="102"/>
        <v>7</v>
      </c>
      <c r="P381" s="1182">
        <f t="shared" si="103"/>
        <v>1.1717442249748912E-2</v>
      </c>
    </row>
    <row r="382" spans="1:16" x14ac:dyDescent="0.25">
      <c r="A382" s="469" t="s">
        <v>1436</v>
      </c>
      <c r="B382" s="1178">
        <v>0</v>
      </c>
      <c r="C382" s="1178">
        <v>0</v>
      </c>
      <c r="D382" s="1178">
        <v>0</v>
      </c>
      <c r="E382" s="1179">
        <v>0</v>
      </c>
      <c r="F382" s="1178">
        <v>0</v>
      </c>
      <c r="G382" s="1179">
        <v>0</v>
      </c>
      <c r="H382" s="1180">
        <v>0</v>
      </c>
      <c r="I382" s="1180">
        <v>0</v>
      </c>
      <c r="J382" s="1180">
        <v>0</v>
      </c>
      <c r="K382" s="1180">
        <v>0</v>
      </c>
      <c r="L382" s="1180">
        <v>0</v>
      </c>
      <c r="M382" s="1181">
        <v>1</v>
      </c>
      <c r="N382" s="1181">
        <v>0</v>
      </c>
      <c r="O382" s="488">
        <f t="shared" si="102"/>
        <v>0.2</v>
      </c>
      <c r="P382" s="1182">
        <f t="shared" si="103"/>
        <v>3.3478406427854036E-4</v>
      </c>
    </row>
    <row r="383" spans="1:16" x14ac:dyDescent="0.25">
      <c r="A383" s="1186" t="s">
        <v>350</v>
      </c>
      <c r="B383" s="1178">
        <v>0</v>
      </c>
      <c r="C383" s="1178">
        <v>0</v>
      </c>
      <c r="D383" s="1178">
        <v>0</v>
      </c>
      <c r="E383" s="1179">
        <v>0</v>
      </c>
      <c r="F383" s="1178">
        <v>0</v>
      </c>
      <c r="G383" s="1179">
        <v>0</v>
      </c>
      <c r="H383" s="1180">
        <v>0</v>
      </c>
      <c r="I383" s="1180">
        <v>0</v>
      </c>
      <c r="J383" s="1180">
        <v>0</v>
      </c>
      <c r="K383" s="1180">
        <v>0</v>
      </c>
      <c r="L383" s="1180">
        <v>0</v>
      </c>
      <c r="M383" s="1181">
        <v>0</v>
      </c>
      <c r="N383" s="1181">
        <v>0</v>
      </c>
      <c r="O383" s="488">
        <f t="shared" si="102"/>
        <v>0</v>
      </c>
      <c r="P383" s="1182">
        <f t="shared" si="103"/>
        <v>0</v>
      </c>
    </row>
    <row r="384" spans="1:16" x14ac:dyDescent="0.25">
      <c r="A384" s="1186" t="s">
        <v>351</v>
      </c>
      <c r="B384" s="1178">
        <v>1</v>
      </c>
      <c r="C384" s="1178">
        <v>1</v>
      </c>
      <c r="D384" s="1178">
        <v>1</v>
      </c>
      <c r="E384" s="1179">
        <v>3</v>
      </c>
      <c r="F384" s="1178">
        <v>6</v>
      </c>
      <c r="G384" s="1179">
        <v>2</v>
      </c>
      <c r="H384" s="1180">
        <v>3</v>
      </c>
      <c r="I384" s="1180">
        <v>0</v>
      </c>
      <c r="J384" s="1180">
        <v>1</v>
      </c>
      <c r="K384" s="1180">
        <v>1</v>
      </c>
      <c r="L384" s="1180">
        <v>5</v>
      </c>
      <c r="M384" s="1181">
        <v>1</v>
      </c>
      <c r="N384" s="1181">
        <v>7</v>
      </c>
      <c r="O384" s="488">
        <f t="shared" si="102"/>
        <v>3</v>
      </c>
      <c r="P384" s="1182">
        <f t="shared" si="103"/>
        <v>5.0217609641781055E-3</v>
      </c>
    </row>
    <row r="385" spans="1:16" x14ac:dyDescent="0.25">
      <c r="A385" s="1186" t="s">
        <v>352</v>
      </c>
      <c r="B385" s="1178">
        <v>0</v>
      </c>
      <c r="C385" s="1178">
        <v>0</v>
      </c>
      <c r="D385" s="1178">
        <v>0</v>
      </c>
      <c r="E385" s="1179">
        <v>0</v>
      </c>
      <c r="F385" s="1178">
        <v>0</v>
      </c>
      <c r="G385" s="1179">
        <v>0</v>
      </c>
      <c r="H385" s="1180">
        <v>0</v>
      </c>
      <c r="I385" s="1180">
        <v>0</v>
      </c>
      <c r="J385" s="1180">
        <v>0</v>
      </c>
      <c r="K385" s="1180">
        <v>0</v>
      </c>
      <c r="L385" s="1180">
        <v>0</v>
      </c>
      <c r="M385" s="1180">
        <v>0</v>
      </c>
      <c r="N385" s="1180">
        <v>0</v>
      </c>
      <c r="O385" s="488">
        <f t="shared" si="102"/>
        <v>0</v>
      </c>
      <c r="P385" s="1182">
        <f t="shared" si="103"/>
        <v>0</v>
      </c>
    </row>
    <row r="386" spans="1:16" x14ac:dyDescent="0.25">
      <c r="A386" s="495" t="s">
        <v>35</v>
      </c>
      <c r="B386" s="471">
        <f t="shared" ref="B386:N386" si="104">SUM(B361:B385)</f>
        <v>25</v>
      </c>
      <c r="C386" s="471">
        <f t="shared" si="104"/>
        <v>14</v>
      </c>
      <c r="D386" s="471">
        <f t="shared" si="104"/>
        <v>21</v>
      </c>
      <c r="E386" s="663">
        <f t="shared" si="104"/>
        <v>33</v>
      </c>
      <c r="F386" s="471">
        <f t="shared" si="104"/>
        <v>44</v>
      </c>
      <c r="G386" s="663">
        <f t="shared" si="104"/>
        <v>18</v>
      </c>
      <c r="H386" s="488">
        <f t="shared" si="104"/>
        <v>23</v>
      </c>
      <c r="I386" s="488">
        <f t="shared" si="104"/>
        <v>14</v>
      </c>
      <c r="J386" s="488">
        <f t="shared" si="104"/>
        <v>27</v>
      </c>
      <c r="K386" s="488">
        <f t="shared" si="104"/>
        <v>20</v>
      </c>
      <c r="L386" s="488">
        <f t="shared" si="104"/>
        <v>54</v>
      </c>
      <c r="M386" s="488">
        <f t="shared" si="104"/>
        <v>52</v>
      </c>
      <c r="N386" s="488">
        <f t="shared" si="104"/>
        <v>42</v>
      </c>
      <c r="O386" s="488">
        <f t="shared" si="102"/>
        <v>39</v>
      </c>
      <c r="P386" s="494">
        <f>SUM(P361:P385)</f>
        <v>6.5282892534315379E-2</v>
      </c>
    </row>
    <row r="387" spans="1:16" x14ac:dyDescent="0.25">
      <c r="A387" s="492" t="s">
        <v>353</v>
      </c>
      <c r="B387" s="470" t="s">
        <v>853</v>
      </c>
      <c r="C387" s="470" t="s">
        <v>585</v>
      </c>
      <c r="D387" s="470" t="s">
        <v>1307</v>
      </c>
      <c r="E387" s="662" t="s">
        <v>560</v>
      </c>
      <c r="F387" s="470" t="s">
        <v>866</v>
      </c>
      <c r="G387" s="662" t="s">
        <v>620</v>
      </c>
      <c r="H387" s="489" t="s">
        <v>720</v>
      </c>
      <c r="I387" s="487" t="s">
        <v>915</v>
      </c>
      <c r="J387" s="487" t="s">
        <v>1364</v>
      </c>
      <c r="K387" s="487" t="s">
        <v>1385</v>
      </c>
      <c r="L387" s="487" t="s">
        <v>1386</v>
      </c>
      <c r="M387" s="1429" t="s">
        <v>1387</v>
      </c>
      <c r="N387" s="1429" t="s">
        <v>1535</v>
      </c>
      <c r="O387" s="489" t="s">
        <v>30</v>
      </c>
      <c r="P387" s="489" t="s">
        <v>31</v>
      </c>
    </row>
    <row r="388" spans="1:16" x14ac:dyDescent="0.25">
      <c r="A388" s="1186" t="s">
        <v>354</v>
      </c>
      <c r="B388" s="1178">
        <v>9</v>
      </c>
      <c r="C388" s="1178">
        <v>7</v>
      </c>
      <c r="D388" s="1178">
        <v>4</v>
      </c>
      <c r="E388" s="1179">
        <v>4</v>
      </c>
      <c r="F388" s="1178">
        <v>9</v>
      </c>
      <c r="G388" s="1179">
        <v>7</v>
      </c>
      <c r="H388" s="1180">
        <v>5</v>
      </c>
      <c r="I388" s="1180">
        <v>9</v>
      </c>
      <c r="J388" s="1180">
        <v>10</v>
      </c>
      <c r="K388" s="1180">
        <v>7</v>
      </c>
      <c r="L388" s="1180">
        <v>3</v>
      </c>
      <c r="M388" s="1181">
        <v>3</v>
      </c>
      <c r="N388" s="1181">
        <v>2</v>
      </c>
      <c r="O388" s="488">
        <f t="shared" ref="O388:O389" si="105">AVERAGE(J388:N388)</f>
        <v>5</v>
      </c>
      <c r="P388" s="1182">
        <f>+O388/$O$452</f>
        <v>8.3696016069635081E-3</v>
      </c>
    </row>
    <row r="389" spans="1:16" x14ac:dyDescent="0.25">
      <c r="A389" s="495" t="s">
        <v>35</v>
      </c>
      <c r="B389" s="471">
        <f t="shared" ref="B389:J389" si="106">SUM(B388)</f>
        <v>9</v>
      </c>
      <c r="C389" s="471">
        <f t="shared" si="106"/>
        <v>7</v>
      </c>
      <c r="D389" s="471">
        <f t="shared" si="106"/>
        <v>4</v>
      </c>
      <c r="E389" s="663">
        <f t="shared" si="106"/>
        <v>4</v>
      </c>
      <c r="F389" s="471">
        <f t="shared" si="106"/>
        <v>9</v>
      </c>
      <c r="G389" s="663">
        <f t="shared" si="106"/>
        <v>7</v>
      </c>
      <c r="H389" s="488">
        <f t="shared" si="106"/>
        <v>5</v>
      </c>
      <c r="I389" s="488">
        <f>SUM(I388)</f>
        <v>9</v>
      </c>
      <c r="J389" s="488">
        <f t="shared" si="106"/>
        <v>10</v>
      </c>
      <c r="K389" s="488">
        <f>SUM(K388)</f>
        <v>7</v>
      </c>
      <c r="L389" s="488">
        <f>SUM(L388)</f>
        <v>3</v>
      </c>
      <c r="M389" s="488">
        <f>SUM(M388)</f>
        <v>3</v>
      </c>
      <c r="N389" s="488">
        <f>SUM(N388)</f>
        <v>2</v>
      </c>
      <c r="O389" s="488">
        <f t="shared" si="105"/>
        <v>5</v>
      </c>
      <c r="P389" s="494">
        <f>SUM(P388)</f>
        <v>8.3696016069635081E-3</v>
      </c>
    </row>
    <row r="390" spans="1:16" x14ac:dyDescent="0.25">
      <c r="A390" s="492" t="s">
        <v>355</v>
      </c>
      <c r="B390" s="470" t="s">
        <v>853</v>
      </c>
      <c r="C390" s="470" t="s">
        <v>585</v>
      </c>
      <c r="D390" s="470" t="s">
        <v>1307</v>
      </c>
      <c r="E390" s="662" t="s">
        <v>560</v>
      </c>
      <c r="F390" s="470" t="s">
        <v>866</v>
      </c>
      <c r="G390" s="662" t="s">
        <v>620</v>
      </c>
      <c r="H390" s="489" t="s">
        <v>720</v>
      </c>
      <c r="I390" s="487" t="s">
        <v>915</v>
      </c>
      <c r="J390" s="487" t="s">
        <v>1364</v>
      </c>
      <c r="K390" s="487" t="s">
        <v>1385</v>
      </c>
      <c r="L390" s="487" t="s">
        <v>1386</v>
      </c>
      <c r="M390" s="1429" t="s">
        <v>1387</v>
      </c>
      <c r="N390" s="1429" t="s">
        <v>1535</v>
      </c>
      <c r="O390" s="489" t="s">
        <v>30</v>
      </c>
      <c r="P390" s="489" t="s">
        <v>31</v>
      </c>
    </row>
    <row r="391" spans="1:16" x14ac:dyDescent="0.25">
      <c r="A391" s="1186" t="s">
        <v>356</v>
      </c>
      <c r="B391" s="1178">
        <v>1</v>
      </c>
      <c r="C391" s="1178">
        <v>4</v>
      </c>
      <c r="D391" s="1178">
        <v>2</v>
      </c>
      <c r="E391" s="1179">
        <v>2</v>
      </c>
      <c r="F391" s="1178">
        <v>7</v>
      </c>
      <c r="G391" s="1179">
        <v>4</v>
      </c>
      <c r="H391" s="1180">
        <v>1</v>
      </c>
      <c r="I391" s="1180">
        <v>3</v>
      </c>
      <c r="J391" s="1180">
        <v>9</v>
      </c>
      <c r="K391" s="1180">
        <v>12</v>
      </c>
      <c r="L391" s="1180">
        <v>8</v>
      </c>
      <c r="M391" s="1181">
        <v>4</v>
      </c>
      <c r="N391" s="1181">
        <v>3</v>
      </c>
      <c r="O391" s="488">
        <f t="shared" ref="O391:O407" si="107">AVERAGE(J391:N391)</f>
        <v>7.2</v>
      </c>
      <c r="P391" s="1182">
        <f t="shared" ref="P391:P406" si="108">+O391/$O$452</f>
        <v>1.2052226314027453E-2</v>
      </c>
    </row>
    <row r="392" spans="1:16" x14ac:dyDescent="0.25">
      <c r="A392" s="1186" t="s">
        <v>357</v>
      </c>
      <c r="B392" s="1178">
        <v>0</v>
      </c>
      <c r="C392" s="1178">
        <v>5</v>
      </c>
      <c r="D392" s="1178">
        <v>0</v>
      </c>
      <c r="E392" s="1179">
        <v>2</v>
      </c>
      <c r="F392" s="1178">
        <v>3</v>
      </c>
      <c r="G392" s="1179">
        <v>0</v>
      </c>
      <c r="H392" s="1180">
        <v>4</v>
      </c>
      <c r="I392" s="1180">
        <v>0</v>
      </c>
      <c r="J392" s="1180">
        <v>0</v>
      </c>
      <c r="K392" s="1180">
        <v>3</v>
      </c>
      <c r="L392" s="1180">
        <v>4</v>
      </c>
      <c r="M392" s="1181">
        <v>1</v>
      </c>
      <c r="N392" s="1181">
        <v>4</v>
      </c>
      <c r="O392" s="488">
        <f t="shared" si="107"/>
        <v>2.4</v>
      </c>
      <c r="P392" s="1182">
        <f t="shared" si="108"/>
        <v>4.0174087713424839E-3</v>
      </c>
    </row>
    <row r="393" spans="1:16" x14ac:dyDescent="0.25">
      <c r="A393" s="1186" t="s">
        <v>358</v>
      </c>
      <c r="B393" s="1178">
        <v>5</v>
      </c>
      <c r="C393" s="1178">
        <v>2</v>
      </c>
      <c r="D393" s="1178">
        <v>2</v>
      </c>
      <c r="E393" s="1179">
        <v>0</v>
      </c>
      <c r="F393" s="1178">
        <v>4</v>
      </c>
      <c r="G393" s="1179">
        <v>1</v>
      </c>
      <c r="H393" s="1180">
        <v>1</v>
      </c>
      <c r="I393" s="1180">
        <v>1</v>
      </c>
      <c r="J393" s="1180">
        <v>2</v>
      </c>
      <c r="K393" s="1180">
        <v>2</v>
      </c>
      <c r="L393" s="1180">
        <v>4</v>
      </c>
      <c r="M393" s="1181">
        <v>1</v>
      </c>
      <c r="N393" s="1181">
        <v>3</v>
      </c>
      <c r="O393" s="488">
        <f t="shared" si="107"/>
        <v>2.4</v>
      </c>
      <c r="P393" s="1182">
        <f t="shared" si="108"/>
        <v>4.0174087713424839E-3</v>
      </c>
    </row>
    <row r="394" spans="1:16" x14ac:dyDescent="0.25">
      <c r="A394" s="1186" t="s">
        <v>359</v>
      </c>
      <c r="B394" s="1178">
        <v>0</v>
      </c>
      <c r="C394" s="1178">
        <v>0</v>
      </c>
      <c r="D394" s="1178">
        <v>0</v>
      </c>
      <c r="E394" s="1179">
        <v>0</v>
      </c>
      <c r="F394" s="1178">
        <v>0</v>
      </c>
      <c r="G394" s="1179">
        <v>0</v>
      </c>
      <c r="H394" s="1180">
        <v>1</v>
      </c>
      <c r="I394" s="1180">
        <v>0</v>
      </c>
      <c r="J394" s="1180">
        <v>1</v>
      </c>
      <c r="K394" s="1180">
        <v>1</v>
      </c>
      <c r="L394" s="1180">
        <v>0</v>
      </c>
      <c r="M394" s="1181">
        <v>5</v>
      </c>
      <c r="N394" s="1181">
        <v>0</v>
      </c>
      <c r="O394" s="488">
        <f t="shared" si="107"/>
        <v>1.4</v>
      </c>
      <c r="P394" s="1182">
        <f t="shared" si="108"/>
        <v>2.3434884499497822E-3</v>
      </c>
    </row>
    <row r="395" spans="1:16" x14ac:dyDescent="0.25">
      <c r="A395" s="1186" t="s">
        <v>360</v>
      </c>
      <c r="B395" s="1178">
        <v>5</v>
      </c>
      <c r="C395" s="1178">
        <v>11</v>
      </c>
      <c r="D395" s="1178">
        <v>4</v>
      </c>
      <c r="E395" s="1179">
        <v>4</v>
      </c>
      <c r="F395" s="1178">
        <v>7</v>
      </c>
      <c r="G395" s="1179">
        <v>4</v>
      </c>
      <c r="H395" s="1180">
        <v>5</v>
      </c>
      <c r="I395" s="1180">
        <v>3</v>
      </c>
      <c r="J395" s="1180">
        <v>2</v>
      </c>
      <c r="K395" s="1180">
        <v>0</v>
      </c>
      <c r="L395" s="1180">
        <v>6</v>
      </c>
      <c r="M395" s="1181">
        <v>10</v>
      </c>
      <c r="N395" s="1181">
        <v>7</v>
      </c>
      <c r="O395" s="488">
        <f t="shared" si="107"/>
        <v>5</v>
      </c>
      <c r="P395" s="1182">
        <f t="shared" si="108"/>
        <v>8.3696016069635081E-3</v>
      </c>
    </row>
    <row r="396" spans="1:16" x14ac:dyDescent="0.25">
      <c r="A396" s="1186" t="s">
        <v>361</v>
      </c>
      <c r="B396" s="1178">
        <v>0</v>
      </c>
      <c r="C396" s="1178">
        <v>0</v>
      </c>
      <c r="D396" s="1178">
        <v>0</v>
      </c>
      <c r="E396" s="1179">
        <v>0</v>
      </c>
      <c r="F396" s="1178">
        <v>0</v>
      </c>
      <c r="G396" s="1179">
        <v>0</v>
      </c>
      <c r="H396" s="1180">
        <v>0</v>
      </c>
      <c r="I396" s="1180">
        <v>0</v>
      </c>
      <c r="J396" s="1180">
        <v>0</v>
      </c>
      <c r="K396" s="1180">
        <v>0</v>
      </c>
      <c r="L396" s="1180">
        <v>0</v>
      </c>
      <c r="M396" s="1181">
        <v>0</v>
      </c>
      <c r="N396" s="1181">
        <v>0</v>
      </c>
      <c r="O396" s="488">
        <f t="shared" si="107"/>
        <v>0</v>
      </c>
      <c r="P396" s="1182">
        <f t="shared" si="108"/>
        <v>0</v>
      </c>
    </row>
    <row r="397" spans="1:16" x14ac:dyDescent="0.25">
      <c r="A397" s="1186" t="s">
        <v>362</v>
      </c>
      <c r="B397" s="1178">
        <v>0</v>
      </c>
      <c r="C397" s="1178">
        <v>0</v>
      </c>
      <c r="D397" s="1178">
        <v>0</v>
      </c>
      <c r="E397" s="1179">
        <v>0</v>
      </c>
      <c r="F397" s="1178">
        <v>0</v>
      </c>
      <c r="G397" s="1179">
        <v>0</v>
      </c>
      <c r="H397" s="1180">
        <v>0</v>
      </c>
      <c r="I397" s="1180">
        <v>0</v>
      </c>
      <c r="J397" s="1180">
        <v>0</v>
      </c>
      <c r="K397" s="1180">
        <v>0</v>
      </c>
      <c r="L397" s="1180">
        <v>0</v>
      </c>
      <c r="M397" s="1181">
        <v>0</v>
      </c>
      <c r="N397" s="1181">
        <v>0</v>
      </c>
      <c r="O397" s="488">
        <f t="shared" si="107"/>
        <v>0</v>
      </c>
      <c r="P397" s="1182">
        <f t="shared" si="108"/>
        <v>0</v>
      </c>
    </row>
    <row r="398" spans="1:16" x14ac:dyDescent="0.25">
      <c r="A398" s="1186" t="s">
        <v>364</v>
      </c>
      <c r="B398" s="1178">
        <v>6</v>
      </c>
      <c r="C398" s="1178">
        <v>3</v>
      </c>
      <c r="D398" s="1178">
        <v>6</v>
      </c>
      <c r="E398" s="1179">
        <v>3</v>
      </c>
      <c r="F398" s="1178">
        <v>4</v>
      </c>
      <c r="G398" s="1179">
        <v>3</v>
      </c>
      <c r="H398" s="1180">
        <v>1</v>
      </c>
      <c r="I398" s="1180">
        <v>0</v>
      </c>
      <c r="J398" s="1180">
        <v>9</v>
      </c>
      <c r="K398" s="1180">
        <v>9</v>
      </c>
      <c r="L398" s="1180">
        <v>2</v>
      </c>
      <c r="M398" s="1181">
        <v>1</v>
      </c>
      <c r="N398" s="1181">
        <v>2</v>
      </c>
      <c r="O398" s="488">
        <f t="shared" si="107"/>
        <v>4.5999999999999996</v>
      </c>
      <c r="P398" s="1182">
        <f t="shared" si="108"/>
        <v>7.7000334784064275E-3</v>
      </c>
    </row>
    <row r="399" spans="1:16" x14ac:dyDescent="0.25">
      <c r="A399" s="1186" t="s">
        <v>365</v>
      </c>
      <c r="B399" s="1178">
        <v>1</v>
      </c>
      <c r="C399" s="1178">
        <v>0</v>
      </c>
      <c r="D399" s="1178">
        <v>0</v>
      </c>
      <c r="E399" s="1179">
        <v>0</v>
      </c>
      <c r="F399" s="1178">
        <v>0</v>
      </c>
      <c r="G399" s="1179">
        <v>0</v>
      </c>
      <c r="H399" s="1180">
        <v>1</v>
      </c>
      <c r="I399" s="1180">
        <v>0</v>
      </c>
      <c r="J399" s="1180">
        <v>2</v>
      </c>
      <c r="K399" s="1180">
        <v>0</v>
      </c>
      <c r="L399" s="1180">
        <v>0</v>
      </c>
      <c r="M399" s="1181">
        <v>1</v>
      </c>
      <c r="N399" s="1181">
        <v>2</v>
      </c>
      <c r="O399" s="488">
        <f t="shared" si="107"/>
        <v>1</v>
      </c>
      <c r="P399" s="1182">
        <f t="shared" si="108"/>
        <v>1.6739203213927017E-3</v>
      </c>
    </row>
    <row r="400" spans="1:16" x14ac:dyDescent="0.25">
      <c r="A400" s="1187" t="s">
        <v>1437</v>
      </c>
      <c r="B400" s="1178"/>
      <c r="C400" s="1178"/>
      <c r="D400" s="1178"/>
      <c r="E400" s="1179">
        <v>0</v>
      </c>
      <c r="F400" s="1178">
        <v>0</v>
      </c>
      <c r="G400" s="1179">
        <v>0</v>
      </c>
      <c r="H400" s="1180">
        <v>0</v>
      </c>
      <c r="I400" s="1180">
        <v>0</v>
      </c>
      <c r="J400" s="1180">
        <v>0</v>
      </c>
      <c r="K400" s="1180">
        <v>0</v>
      </c>
      <c r="L400" s="1180">
        <v>1</v>
      </c>
      <c r="M400" s="1181">
        <v>1</v>
      </c>
      <c r="N400" s="1181">
        <v>0</v>
      </c>
      <c r="O400" s="488">
        <f t="shared" si="107"/>
        <v>0.4</v>
      </c>
      <c r="P400" s="1182">
        <f t="shared" si="108"/>
        <v>6.6956812855708072E-4</v>
      </c>
    </row>
    <row r="401" spans="1:16" x14ac:dyDescent="0.25">
      <c r="A401" s="1186" t="s">
        <v>366</v>
      </c>
      <c r="B401" s="1178">
        <v>0</v>
      </c>
      <c r="C401" s="1178">
        <v>1</v>
      </c>
      <c r="D401" s="1178">
        <v>0</v>
      </c>
      <c r="E401" s="1179">
        <v>0</v>
      </c>
      <c r="F401" s="1178">
        <v>0</v>
      </c>
      <c r="G401" s="1179">
        <v>0</v>
      </c>
      <c r="H401" s="1180">
        <v>0</v>
      </c>
      <c r="I401" s="1180">
        <v>0</v>
      </c>
      <c r="J401" s="1180">
        <v>0</v>
      </c>
      <c r="K401" s="1180">
        <v>0</v>
      </c>
      <c r="L401" s="1180">
        <v>0</v>
      </c>
      <c r="M401" s="1181">
        <v>0</v>
      </c>
      <c r="N401" s="1181">
        <v>0</v>
      </c>
      <c r="O401" s="488">
        <f t="shared" si="107"/>
        <v>0</v>
      </c>
      <c r="P401" s="1182">
        <f t="shared" si="108"/>
        <v>0</v>
      </c>
    </row>
    <row r="402" spans="1:16" x14ac:dyDescent="0.25">
      <c r="A402" s="1488" t="s">
        <v>1576</v>
      </c>
      <c r="B402" s="1487"/>
      <c r="C402" s="1487"/>
      <c r="D402" s="1487"/>
      <c r="E402" s="1179"/>
      <c r="F402" s="1487"/>
      <c r="G402" s="1179"/>
      <c r="H402" s="1180"/>
      <c r="I402" s="1180"/>
      <c r="J402" s="1180">
        <v>0</v>
      </c>
      <c r="K402" s="1180">
        <v>0</v>
      </c>
      <c r="L402" s="1180">
        <v>0</v>
      </c>
      <c r="M402" s="1181">
        <v>0</v>
      </c>
      <c r="N402" s="1181">
        <v>2</v>
      </c>
      <c r="O402" s="488">
        <f t="shared" ref="O402" si="109">AVERAGE(J402:N402)</f>
        <v>0.4</v>
      </c>
      <c r="P402" s="1182">
        <f t="shared" si="108"/>
        <v>6.6956812855708072E-4</v>
      </c>
    </row>
    <row r="403" spans="1:16" x14ac:dyDescent="0.25">
      <c r="A403" s="1186" t="s">
        <v>367</v>
      </c>
      <c r="B403" s="1178">
        <v>0</v>
      </c>
      <c r="C403" s="1178">
        <v>0</v>
      </c>
      <c r="D403" s="1178">
        <v>0</v>
      </c>
      <c r="E403" s="1179">
        <v>0</v>
      </c>
      <c r="F403" s="1178">
        <v>0</v>
      </c>
      <c r="G403" s="1179">
        <v>0</v>
      </c>
      <c r="H403" s="1180">
        <v>0</v>
      </c>
      <c r="I403" s="1180">
        <v>0</v>
      </c>
      <c r="J403" s="1180">
        <v>0</v>
      </c>
      <c r="K403" s="1180">
        <v>0</v>
      </c>
      <c r="L403" s="1180">
        <v>0</v>
      </c>
      <c r="M403" s="1181">
        <v>0</v>
      </c>
      <c r="N403" s="1181">
        <v>0</v>
      </c>
      <c r="O403" s="488">
        <f t="shared" si="107"/>
        <v>0</v>
      </c>
      <c r="P403" s="1182">
        <f t="shared" si="108"/>
        <v>0</v>
      </c>
    </row>
    <row r="404" spans="1:16" x14ac:dyDescent="0.25">
      <c r="A404" s="1186" t="s">
        <v>368</v>
      </c>
      <c r="B404" s="1178">
        <v>4</v>
      </c>
      <c r="C404" s="1178">
        <v>2</v>
      </c>
      <c r="D404" s="1178">
        <v>0</v>
      </c>
      <c r="E404" s="1179">
        <v>1</v>
      </c>
      <c r="F404" s="1178">
        <v>3</v>
      </c>
      <c r="G404" s="1179">
        <v>5</v>
      </c>
      <c r="H404" s="1180">
        <v>6</v>
      </c>
      <c r="I404" s="1180">
        <v>2</v>
      </c>
      <c r="J404" s="1180">
        <v>1</v>
      </c>
      <c r="K404" s="1180">
        <v>1</v>
      </c>
      <c r="L404" s="1180">
        <v>1</v>
      </c>
      <c r="M404" s="1181">
        <v>3</v>
      </c>
      <c r="N404" s="1181">
        <v>3</v>
      </c>
      <c r="O404" s="488">
        <f t="shared" si="107"/>
        <v>1.8</v>
      </c>
      <c r="P404" s="1182">
        <f t="shared" si="108"/>
        <v>3.0130565785068631E-3</v>
      </c>
    </row>
    <row r="405" spans="1:16" x14ac:dyDescent="0.25">
      <c r="A405" s="1186" t="s">
        <v>369</v>
      </c>
      <c r="B405" s="1178">
        <v>0</v>
      </c>
      <c r="C405" s="1178">
        <v>0</v>
      </c>
      <c r="D405" s="1178">
        <v>1</v>
      </c>
      <c r="E405" s="1179">
        <v>0</v>
      </c>
      <c r="F405" s="1178">
        <v>0</v>
      </c>
      <c r="G405" s="1179">
        <v>0</v>
      </c>
      <c r="H405" s="1180">
        <v>0</v>
      </c>
      <c r="I405" s="1180">
        <v>1</v>
      </c>
      <c r="J405" s="1180">
        <v>0</v>
      </c>
      <c r="K405" s="1180">
        <v>0</v>
      </c>
      <c r="L405" s="1180">
        <v>0</v>
      </c>
      <c r="M405" s="1181">
        <v>1</v>
      </c>
      <c r="N405" s="1181">
        <v>0</v>
      </c>
      <c r="O405" s="488">
        <f t="shared" si="107"/>
        <v>0.2</v>
      </c>
      <c r="P405" s="1182">
        <f t="shared" si="108"/>
        <v>3.3478406427854036E-4</v>
      </c>
    </row>
    <row r="406" spans="1:16" x14ac:dyDescent="0.25">
      <c r="A406" s="1186" t="s">
        <v>370</v>
      </c>
      <c r="B406" s="1178">
        <v>2</v>
      </c>
      <c r="C406" s="1178">
        <v>2</v>
      </c>
      <c r="D406" s="1178">
        <v>3</v>
      </c>
      <c r="E406" s="1179">
        <v>0</v>
      </c>
      <c r="F406" s="1178">
        <v>3</v>
      </c>
      <c r="G406" s="1179">
        <v>2</v>
      </c>
      <c r="H406" s="1180">
        <v>2</v>
      </c>
      <c r="I406" s="1180">
        <v>0</v>
      </c>
      <c r="J406" s="1180">
        <v>0</v>
      </c>
      <c r="K406" s="1180">
        <v>0</v>
      </c>
      <c r="L406" s="1180">
        <v>7</v>
      </c>
      <c r="M406" s="1181">
        <v>9</v>
      </c>
      <c r="N406" s="1181">
        <v>7</v>
      </c>
      <c r="O406" s="488">
        <f t="shared" si="107"/>
        <v>4.5999999999999996</v>
      </c>
      <c r="P406" s="1182">
        <f t="shared" si="108"/>
        <v>7.7000334784064275E-3</v>
      </c>
    </row>
    <row r="407" spans="1:16" x14ac:dyDescent="0.25">
      <c r="A407" s="495" t="s">
        <v>35</v>
      </c>
      <c r="B407" s="471">
        <f t="shared" ref="B407:J407" si="110">SUM(B391:B406)</f>
        <v>24</v>
      </c>
      <c r="C407" s="471">
        <f t="shared" si="110"/>
        <v>30</v>
      </c>
      <c r="D407" s="471">
        <f t="shared" si="110"/>
        <v>18</v>
      </c>
      <c r="E407" s="663">
        <f t="shared" si="110"/>
        <v>12</v>
      </c>
      <c r="F407" s="471">
        <f t="shared" si="110"/>
        <v>31</v>
      </c>
      <c r="G407" s="663">
        <f t="shared" si="110"/>
        <v>19</v>
      </c>
      <c r="H407" s="488">
        <f t="shared" si="110"/>
        <v>22</v>
      </c>
      <c r="I407" s="488">
        <f t="shared" si="110"/>
        <v>10</v>
      </c>
      <c r="J407" s="488">
        <f t="shared" si="110"/>
        <v>26</v>
      </c>
      <c r="K407" s="488">
        <f>SUM(K391:K406)</f>
        <v>28</v>
      </c>
      <c r="L407" s="488">
        <f>SUM(L391:L406)</f>
        <v>33</v>
      </c>
      <c r="M407" s="488">
        <f>SUM(M391:M406)</f>
        <v>37</v>
      </c>
      <c r="N407" s="488">
        <f>SUM(N391:N406)</f>
        <v>33</v>
      </c>
      <c r="O407" s="488">
        <f t="shared" si="107"/>
        <v>31.4</v>
      </c>
      <c r="P407" s="494">
        <f>SUM(P391:P406)</f>
        <v>5.2561098091730832E-2</v>
      </c>
    </row>
    <row r="408" spans="1:16" x14ac:dyDescent="0.25">
      <c r="A408" s="492" t="s">
        <v>371</v>
      </c>
      <c r="B408" s="470" t="s">
        <v>853</v>
      </c>
      <c r="C408" s="470" t="s">
        <v>585</v>
      </c>
      <c r="D408" s="470" t="s">
        <v>1307</v>
      </c>
      <c r="E408" s="662" t="s">
        <v>560</v>
      </c>
      <c r="F408" s="470" t="s">
        <v>866</v>
      </c>
      <c r="G408" s="662" t="s">
        <v>620</v>
      </c>
      <c r="H408" s="489" t="s">
        <v>720</v>
      </c>
      <c r="I408" s="487" t="s">
        <v>915</v>
      </c>
      <c r="J408" s="487" t="s">
        <v>1364</v>
      </c>
      <c r="K408" s="487" t="s">
        <v>1385</v>
      </c>
      <c r="L408" s="487" t="s">
        <v>1386</v>
      </c>
      <c r="M408" s="1429" t="s">
        <v>1387</v>
      </c>
      <c r="N408" s="1429" t="s">
        <v>1535</v>
      </c>
      <c r="O408" s="489" t="s">
        <v>30</v>
      </c>
      <c r="P408" s="489" t="s">
        <v>31</v>
      </c>
    </row>
    <row r="409" spans="1:16" x14ac:dyDescent="0.25">
      <c r="A409" s="1186" t="s">
        <v>372</v>
      </c>
      <c r="B409" s="1178">
        <v>2</v>
      </c>
      <c r="C409" s="1178">
        <v>1</v>
      </c>
      <c r="D409" s="1178">
        <v>0</v>
      </c>
      <c r="E409" s="1179">
        <v>0</v>
      </c>
      <c r="F409" s="1178">
        <v>1</v>
      </c>
      <c r="G409" s="1179">
        <v>1</v>
      </c>
      <c r="H409" s="1180">
        <v>0</v>
      </c>
      <c r="I409" s="1180">
        <v>0</v>
      </c>
      <c r="J409" s="1180">
        <v>2</v>
      </c>
      <c r="K409" s="1180">
        <v>2</v>
      </c>
      <c r="L409" s="1180">
        <v>1</v>
      </c>
      <c r="M409" s="1181">
        <v>1</v>
      </c>
      <c r="N409" s="1181">
        <v>0</v>
      </c>
      <c r="O409" s="488">
        <f t="shared" ref="O409:O419" si="111">AVERAGE(J409:N409)</f>
        <v>1.2</v>
      </c>
      <c r="P409" s="1182">
        <f t="shared" ref="P409:P418" si="112">+O409/$O$452</f>
        <v>2.0087043856712419E-3</v>
      </c>
    </row>
    <row r="410" spans="1:16" x14ac:dyDescent="0.25">
      <c r="A410" s="1186" t="s">
        <v>373</v>
      </c>
      <c r="B410" s="1178">
        <v>0</v>
      </c>
      <c r="C410" s="1178">
        <v>0</v>
      </c>
      <c r="D410" s="1178">
        <v>0</v>
      </c>
      <c r="E410" s="1179">
        <v>0</v>
      </c>
      <c r="F410" s="1178">
        <v>0</v>
      </c>
      <c r="G410" s="1179">
        <v>0</v>
      </c>
      <c r="H410" s="1180">
        <v>0</v>
      </c>
      <c r="I410" s="1180">
        <v>0</v>
      </c>
      <c r="J410" s="1180">
        <v>0</v>
      </c>
      <c r="K410" s="1180">
        <v>0</v>
      </c>
      <c r="L410" s="1180">
        <v>0</v>
      </c>
      <c r="M410" s="1181">
        <v>0</v>
      </c>
      <c r="N410" s="1181">
        <v>0</v>
      </c>
      <c r="O410" s="488">
        <f t="shared" si="111"/>
        <v>0</v>
      </c>
      <c r="P410" s="1182">
        <f t="shared" si="112"/>
        <v>0</v>
      </c>
    </row>
    <row r="411" spans="1:16" x14ac:dyDescent="0.25">
      <c r="A411" s="1192" t="s">
        <v>212</v>
      </c>
      <c r="B411" s="1189">
        <v>0</v>
      </c>
      <c r="C411" s="1189">
        <v>0</v>
      </c>
      <c r="D411" s="1189">
        <v>0</v>
      </c>
      <c r="E411" s="1190">
        <v>0</v>
      </c>
      <c r="F411" s="1189">
        <v>0</v>
      </c>
      <c r="G411" s="1190">
        <v>0</v>
      </c>
      <c r="H411" s="1191">
        <v>0</v>
      </c>
      <c r="I411" s="1191">
        <v>0</v>
      </c>
      <c r="J411" s="1191">
        <v>0</v>
      </c>
      <c r="K411" s="1191">
        <v>0</v>
      </c>
      <c r="L411" s="1191">
        <v>0</v>
      </c>
      <c r="M411" s="1181">
        <v>1</v>
      </c>
      <c r="N411" s="1181">
        <v>0</v>
      </c>
      <c r="O411" s="488">
        <f t="shared" si="111"/>
        <v>0.2</v>
      </c>
      <c r="P411" s="1182">
        <f t="shared" si="112"/>
        <v>3.3478406427854036E-4</v>
      </c>
    </row>
    <row r="412" spans="1:16" x14ac:dyDescent="0.25">
      <c r="A412" s="1192" t="s">
        <v>374</v>
      </c>
      <c r="B412" s="1189">
        <v>0</v>
      </c>
      <c r="C412" s="1189">
        <v>0</v>
      </c>
      <c r="D412" s="1189">
        <v>1</v>
      </c>
      <c r="E412" s="1190">
        <v>0</v>
      </c>
      <c r="F412" s="1189">
        <v>0</v>
      </c>
      <c r="G412" s="1190">
        <v>0</v>
      </c>
      <c r="H412" s="1191">
        <v>0</v>
      </c>
      <c r="I412" s="1191">
        <v>0</v>
      </c>
      <c r="J412" s="1191">
        <v>0</v>
      </c>
      <c r="K412" s="1191">
        <v>0</v>
      </c>
      <c r="L412" s="1191">
        <v>1</v>
      </c>
      <c r="M412" s="1181">
        <v>0</v>
      </c>
      <c r="N412" s="1181">
        <v>0</v>
      </c>
      <c r="O412" s="488">
        <f t="shared" si="111"/>
        <v>0.2</v>
      </c>
      <c r="P412" s="1182">
        <f t="shared" si="112"/>
        <v>3.3478406427854036E-4</v>
      </c>
    </row>
    <row r="413" spans="1:16" x14ac:dyDescent="0.25">
      <c r="A413" s="1186" t="s">
        <v>375</v>
      </c>
      <c r="B413" s="1178">
        <v>1</v>
      </c>
      <c r="C413" s="1178">
        <v>2</v>
      </c>
      <c r="D413" s="1178">
        <v>0</v>
      </c>
      <c r="E413" s="1179">
        <v>0</v>
      </c>
      <c r="F413" s="1178">
        <v>0</v>
      </c>
      <c r="G413" s="1179">
        <v>1</v>
      </c>
      <c r="H413" s="1180">
        <v>0</v>
      </c>
      <c r="I413" s="1180">
        <v>1</v>
      </c>
      <c r="J413" s="1180">
        <v>0</v>
      </c>
      <c r="K413" s="1180">
        <v>2</v>
      </c>
      <c r="L413" s="1180">
        <v>0</v>
      </c>
      <c r="M413" s="1181">
        <v>3</v>
      </c>
      <c r="N413" s="1181">
        <v>0</v>
      </c>
      <c r="O413" s="488">
        <f t="shared" si="111"/>
        <v>1</v>
      </c>
      <c r="P413" s="1182">
        <f t="shared" si="112"/>
        <v>1.6739203213927017E-3</v>
      </c>
    </row>
    <row r="414" spans="1:16" x14ac:dyDescent="0.25">
      <c r="A414" s="1186" t="s">
        <v>376</v>
      </c>
      <c r="B414" s="1178">
        <v>0</v>
      </c>
      <c r="C414" s="1178">
        <v>0</v>
      </c>
      <c r="D414" s="1178">
        <v>0</v>
      </c>
      <c r="E414" s="1179">
        <v>0</v>
      </c>
      <c r="F414" s="1178">
        <v>0</v>
      </c>
      <c r="G414" s="1179">
        <v>0</v>
      </c>
      <c r="H414" s="1180">
        <v>0</v>
      </c>
      <c r="I414" s="1180">
        <v>0</v>
      </c>
      <c r="J414" s="1180">
        <v>0</v>
      </c>
      <c r="K414" s="1180">
        <v>0</v>
      </c>
      <c r="L414" s="1180">
        <v>0</v>
      </c>
      <c r="M414" s="1181">
        <v>0</v>
      </c>
      <c r="N414" s="1181">
        <v>0</v>
      </c>
      <c r="O414" s="488">
        <f t="shared" si="111"/>
        <v>0</v>
      </c>
      <c r="P414" s="1182">
        <f t="shared" si="112"/>
        <v>0</v>
      </c>
    </row>
    <row r="415" spans="1:16" x14ac:dyDescent="0.25">
      <c r="A415" s="1186" t="s">
        <v>377</v>
      </c>
      <c r="B415" s="1178">
        <v>0</v>
      </c>
      <c r="C415" s="1178">
        <v>0</v>
      </c>
      <c r="D415" s="1178">
        <v>0</v>
      </c>
      <c r="E415" s="1179">
        <v>0</v>
      </c>
      <c r="F415" s="1178">
        <v>0</v>
      </c>
      <c r="G415" s="1179">
        <v>0</v>
      </c>
      <c r="H415" s="1180">
        <v>0</v>
      </c>
      <c r="I415" s="1180">
        <v>0</v>
      </c>
      <c r="J415" s="1180">
        <v>0</v>
      </c>
      <c r="K415" s="1180">
        <v>0</v>
      </c>
      <c r="L415" s="1180">
        <v>0</v>
      </c>
      <c r="M415" s="1181">
        <v>0</v>
      </c>
      <c r="N415" s="1181">
        <v>0</v>
      </c>
      <c r="O415" s="488">
        <f t="shared" si="111"/>
        <v>0</v>
      </c>
      <c r="P415" s="1182">
        <f t="shared" si="112"/>
        <v>0</v>
      </c>
    </row>
    <row r="416" spans="1:16" x14ac:dyDescent="0.25">
      <c r="A416" s="1186" t="s">
        <v>397</v>
      </c>
      <c r="B416" s="1178">
        <v>9</v>
      </c>
      <c r="C416" s="1178">
        <v>4</v>
      </c>
      <c r="D416" s="1178">
        <v>2</v>
      </c>
      <c r="E416" s="1179">
        <v>1</v>
      </c>
      <c r="F416" s="1178">
        <v>1</v>
      </c>
      <c r="G416" s="1179">
        <v>6</v>
      </c>
      <c r="H416" s="1180">
        <v>0</v>
      </c>
      <c r="I416" s="1180">
        <v>1</v>
      </c>
      <c r="J416" s="1180">
        <v>3</v>
      </c>
      <c r="K416" s="1180">
        <v>3</v>
      </c>
      <c r="L416" s="1180">
        <v>6</v>
      </c>
      <c r="M416" s="1181">
        <v>2</v>
      </c>
      <c r="N416" s="1181">
        <v>2</v>
      </c>
      <c r="O416" s="488">
        <f t="shared" si="111"/>
        <v>3.2</v>
      </c>
      <c r="P416" s="1182">
        <f t="shared" si="112"/>
        <v>5.3565450284566458E-3</v>
      </c>
    </row>
    <row r="417" spans="1:16" x14ac:dyDescent="0.25">
      <c r="A417" s="1186" t="s">
        <v>398</v>
      </c>
      <c r="B417" s="1178">
        <v>2</v>
      </c>
      <c r="C417" s="1178">
        <v>3</v>
      </c>
      <c r="D417" s="1178">
        <v>2</v>
      </c>
      <c r="E417" s="1179">
        <v>0</v>
      </c>
      <c r="F417" s="1178">
        <v>1</v>
      </c>
      <c r="G417" s="1179">
        <v>0</v>
      </c>
      <c r="H417" s="1180">
        <v>3</v>
      </c>
      <c r="I417" s="1180">
        <v>0</v>
      </c>
      <c r="J417" s="1180">
        <v>0</v>
      </c>
      <c r="K417" s="1180">
        <v>3</v>
      </c>
      <c r="L417" s="1180">
        <v>0</v>
      </c>
      <c r="M417" s="1181">
        <v>0</v>
      </c>
      <c r="N417" s="1181">
        <v>0</v>
      </c>
      <c r="O417" s="488">
        <f t="shared" si="111"/>
        <v>0.6</v>
      </c>
      <c r="P417" s="1182">
        <f t="shared" si="112"/>
        <v>1.004352192835621E-3</v>
      </c>
    </row>
    <row r="418" spans="1:16" x14ac:dyDescent="0.25">
      <c r="A418" s="1186" t="s">
        <v>399</v>
      </c>
      <c r="B418" s="1178">
        <v>0</v>
      </c>
      <c r="C418" s="1178">
        <v>0</v>
      </c>
      <c r="D418" s="1178">
        <v>2</v>
      </c>
      <c r="E418" s="1179">
        <v>0</v>
      </c>
      <c r="F418" s="1178">
        <v>0</v>
      </c>
      <c r="G418" s="1179">
        <v>0</v>
      </c>
      <c r="H418" s="1180">
        <v>0</v>
      </c>
      <c r="I418" s="1180">
        <v>0</v>
      </c>
      <c r="J418" s="1180">
        <v>0</v>
      </c>
      <c r="K418" s="1180">
        <v>1</v>
      </c>
      <c r="L418" s="1180">
        <v>0</v>
      </c>
      <c r="M418" s="1180">
        <v>0</v>
      </c>
      <c r="N418" s="1180">
        <v>0</v>
      </c>
      <c r="O418" s="488">
        <f t="shared" si="111"/>
        <v>0.2</v>
      </c>
      <c r="P418" s="1182">
        <f t="shared" si="112"/>
        <v>3.3478406427854036E-4</v>
      </c>
    </row>
    <row r="419" spans="1:16" x14ac:dyDescent="0.25">
      <c r="A419" s="495" t="s">
        <v>35</v>
      </c>
      <c r="B419" s="471">
        <f t="shared" ref="B419:J419" si="113">SUM(B409:B418)</f>
        <v>14</v>
      </c>
      <c r="C419" s="471">
        <f t="shared" si="113"/>
        <v>10</v>
      </c>
      <c r="D419" s="471">
        <f t="shared" si="113"/>
        <v>7</v>
      </c>
      <c r="E419" s="663">
        <f t="shared" si="113"/>
        <v>1</v>
      </c>
      <c r="F419" s="471">
        <f t="shared" si="113"/>
        <v>3</v>
      </c>
      <c r="G419" s="663">
        <f t="shared" si="113"/>
        <v>8</v>
      </c>
      <c r="H419" s="488">
        <f t="shared" si="113"/>
        <v>3</v>
      </c>
      <c r="I419" s="488">
        <f t="shared" si="113"/>
        <v>2</v>
      </c>
      <c r="J419" s="488">
        <f t="shared" si="113"/>
        <v>5</v>
      </c>
      <c r="K419" s="488">
        <f>SUM(K409:K418)</f>
        <v>11</v>
      </c>
      <c r="L419" s="488">
        <f>SUM(L409:L418)</f>
        <v>8</v>
      </c>
      <c r="M419" s="488">
        <f>SUM(M409:M418)</f>
        <v>7</v>
      </c>
      <c r="N419" s="488">
        <f>SUM(N409:N418)</f>
        <v>2</v>
      </c>
      <c r="O419" s="488">
        <f t="shared" si="111"/>
        <v>6.6</v>
      </c>
      <c r="P419" s="494">
        <f>SUM(P409:P418)</f>
        <v>1.104787412119183E-2</v>
      </c>
    </row>
    <row r="420" spans="1:16" x14ac:dyDescent="0.25">
      <c r="A420" s="492" t="s">
        <v>430</v>
      </c>
      <c r="B420" s="470" t="s">
        <v>853</v>
      </c>
      <c r="C420" s="470" t="s">
        <v>585</v>
      </c>
      <c r="D420" s="470" t="s">
        <v>1307</v>
      </c>
      <c r="E420" s="662" t="s">
        <v>560</v>
      </c>
      <c r="F420" s="470" t="s">
        <v>866</v>
      </c>
      <c r="G420" s="662" t="s">
        <v>620</v>
      </c>
      <c r="H420" s="489" t="s">
        <v>720</v>
      </c>
      <c r="I420" s="487" t="s">
        <v>915</v>
      </c>
      <c r="J420" s="487" t="s">
        <v>1364</v>
      </c>
      <c r="K420" s="487" t="s">
        <v>1385</v>
      </c>
      <c r="L420" s="487" t="s">
        <v>1386</v>
      </c>
      <c r="M420" s="1429" t="s">
        <v>1387</v>
      </c>
      <c r="N420" s="1429" t="s">
        <v>1535</v>
      </c>
      <c r="O420" s="489" t="s">
        <v>30</v>
      </c>
      <c r="P420" s="489" t="s">
        <v>31</v>
      </c>
    </row>
    <row r="421" spans="1:16" x14ac:dyDescent="0.25">
      <c r="A421" s="1192" t="s">
        <v>431</v>
      </c>
      <c r="B421" s="1189">
        <v>0</v>
      </c>
      <c r="C421" s="1189">
        <v>0</v>
      </c>
      <c r="D421" s="1189">
        <v>1</v>
      </c>
      <c r="E421" s="1190">
        <v>0</v>
      </c>
      <c r="F421" s="1189">
        <v>0</v>
      </c>
      <c r="G421" s="1190">
        <v>1</v>
      </c>
      <c r="H421" s="1191">
        <v>1</v>
      </c>
      <c r="I421" s="1191">
        <v>0</v>
      </c>
      <c r="J421" s="1191">
        <v>0</v>
      </c>
      <c r="K421" s="1191">
        <v>0</v>
      </c>
      <c r="L421" s="1191">
        <v>0</v>
      </c>
      <c r="M421" s="1191">
        <v>0</v>
      </c>
      <c r="N421" s="1191">
        <v>0</v>
      </c>
      <c r="O421" s="488">
        <f t="shared" ref="O421:O425" si="114">AVERAGE(J421:N421)</f>
        <v>0</v>
      </c>
      <c r="P421" s="1182">
        <f>+O421/$O$452</f>
        <v>0</v>
      </c>
    </row>
    <row r="422" spans="1:16" x14ac:dyDescent="0.25">
      <c r="A422" s="1192" t="s">
        <v>432</v>
      </c>
      <c r="B422" s="1189">
        <v>0</v>
      </c>
      <c r="C422" s="1189">
        <v>1</v>
      </c>
      <c r="D422" s="1189">
        <v>2</v>
      </c>
      <c r="E422" s="1190">
        <v>0</v>
      </c>
      <c r="F422" s="1189">
        <v>0</v>
      </c>
      <c r="G422" s="1190">
        <v>2</v>
      </c>
      <c r="H422" s="1191">
        <v>0</v>
      </c>
      <c r="I422" s="1191">
        <v>0</v>
      </c>
      <c r="J422" s="1191">
        <v>0</v>
      </c>
      <c r="K422" s="1191">
        <v>0</v>
      </c>
      <c r="L422" s="1191">
        <v>0</v>
      </c>
      <c r="M422" s="1191">
        <v>0</v>
      </c>
      <c r="N422" s="1191">
        <v>0</v>
      </c>
      <c r="O422" s="488">
        <f t="shared" si="114"/>
        <v>0</v>
      </c>
      <c r="P422" s="1182">
        <f>+O422/$O$452</f>
        <v>0</v>
      </c>
    </row>
    <row r="423" spans="1:16" x14ac:dyDescent="0.25">
      <c r="A423" s="1186" t="s">
        <v>433</v>
      </c>
      <c r="B423" s="1178">
        <v>6</v>
      </c>
      <c r="C423" s="1178">
        <v>2</v>
      </c>
      <c r="D423" s="1178">
        <v>2</v>
      </c>
      <c r="E423" s="1179">
        <v>8</v>
      </c>
      <c r="F423" s="1178">
        <v>10</v>
      </c>
      <c r="G423" s="1179">
        <v>13</v>
      </c>
      <c r="H423" s="1180">
        <v>7</v>
      </c>
      <c r="I423" s="1180">
        <v>1</v>
      </c>
      <c r="J423" s="1180">
        <v>6</v>
      </c>
      <c r="K423" s="1180">
        <v>2</v>
      </c>
      <c r="L423" s="1180">
        <v>12</v>
      </c>
      <c r="M423" s="1181">
        <v>10</v>
      </c>
      <c r="N423" s="1181">
        <v>2</v>
      </c>
      <c r="O423" s="488">
        <f t="shared" si="114"/>
        <v>6.4</v>
      </c>
      <c r="P423" s="1182">
        <f>+O423/$O$452</f>
        <v>1.0713090056913292E-2</v>
      </c>
    </row>
    <row r="424" spans="1:16" x14ac:dyDescent="0.25">
      <c r="A424" s="1186" t="s">
        <v>507</v>
      </c>
      <c r="B424" s="1178">
        <v>0</v>
      </c>
      <c r="C424" s="1178">
        <v>0</v>
      </c>
      <c r="D424" s="1178">
        <v>0</v>
      </c>
      <c r="E424" s="1179">
        <v>0</v>
      </c>
      <c r="F424" s="1178">
        <v>0</v>
      </c>
      <c r="G424" s="1179">
        <v>1</v>
      </c>
      <c r="H424" s="1180">
        <v>0</v>
      </c>
      <c r="I424" s="1180">
        <v>0</v>
      </c>
      <c r="J424" s="1180">
        <v>0</v>
      </c>
      <c r="K424" s="1180">
        <v>0</v>
      </c>
      <c r="L424" s="1180">
        <v>0</v>
      </c>
      <c r="M424" s="1180">
        <v>0</v>
      </c>
      <c r="N424" s="1180">
        <v>0</v>
      </c>
      <c r="O424" s="488">
        <f t="shared" si="114"/>
        <v>0</v>
      </c>
      <c r="P424" s="1182">
        <f>+O424/$O$452</f>
        <v>0</v>
      </c>
    </row>
    <row r="425" spans="1:16" x14ac:dyDescent="0.25">
      <c r="A425" s="495" t="s">
        <v>35</v>
      </c>
      <c r="B425" s="471">
        <f>SUM(B421:B423)</f>
        <v>6</v>
      </c>
      <c r="C425" s="471">
        <f>SUM(C421:C423)</f>
        <v>3</v>
      </c>
      <c r="D425" s="471">
        <f>SUM(D421:D423)</f>
        <v>5</v>
      </c>
      <c r="E425" s="663">
        <f>SUM(E421:E423)</f>
        <v>8</v>
      </c>
      <c r="F425" s="471">
        <f>SUM(F421:F423)</f>
        <v>10</v>
      </c>
      <c r="G425" s="663">
        <f t="shared" ref="G425:M425" si="115">SUM(G421:G424)</f>
        <v>17</v>
      </c>
      <c r="H425" s="488">
        <f t="shared" si="115"/>
        <v>8</v>
      </c>
      <c r="I425" s="488">
        <f t="shared" si="115"/>
        <v>1</v>
      </c>
      <c r="J425" s="488">
        <f t="shared" si="115"/>
        <v>6</v>
      </c>
      <c r="K425" s="488">
        <f t="shared" si="115"/>
        <v>2</v>
      </c>
      <c r="L425" s="488">
        <f t="shared" si="115"/>
        <v>12</v>
      </c>
      <c r="M425" s="488">
        <f t="shared" si="115"/>
        <v>10</v>
      </c>
      <c r="N425" s="488">
        <f t="shared" ref="N425" si="116">SUM(N421:N424)</f>
        <v>2</v>
      </c>
      <c r="O425" s="488">
        <f t="shared" si="114"/>
        <v>6.4</v>
      </c>
      <c r="P425" s="494">
        <f>SUM(P421:P424)</f>
        <v>1.0713090056913292E-2</v>
      </c>
    </row>
    <row r="426" spans="1:16" x14ac:dyDescent="0.25">
      <c r="A426" s="492" t="s">
        <v>434</v>
      </c>
      <c r="B426" s="470" t="s">
        <v>853</v>
      </c>
      <c r="C426" s="470" t="s">
        <v>585</v>
      </c>
      <c r="D426" s="470" t="s">
        <v>1307</v>
      </c>
      <c r="E426" s="662" t="s">
        <v>560</v>
      </c>
      <c r="F426" s="470" t="s">
        <v>866</v>
      </c>
      <c r="G426" s="662" t="s">
        <v>620</v>
      </c>
      <c r="H426" s="489" t="s">
        <v>720</v>
      </c>
      <c r="I426" s="487" t="s">
        <v>915</v>
      </c>
      <c r="J426" s="487" t="s">
        <v>1364</v>
      </c>
      <c r="K426" s="487" t="s">
        <v>1385</v>
      </c>
      <c r="L426" s="487" t="s">
        <v>1386</v>
      </c>
      <c r="M426" s="1429" t="s">
        <v>1387</v>
      </c>
      <c r="N426" s="1429" t="s">
        <v>1535</v>
      </c>
      <c r="O426" s="489" t="s">
        <v>30</v>
      </c>
      <c r="P426" s="489" t="s">
        <v>31</v>
      </c>
    </row>
    <row r="427" spans="1:16" x14ac:dyDescent="0.25">
      <c r="A427" s="1192" t="s">
        <v>435</v>
      </c>
      <c r="B427" s="1189">
        <v>0</v>
      </c>
      <c r="C427" s="1189">
        <v>1</v>
      </c>
      <c r="D427" s="1189">
        <v>0</v>
      </c>
      <c r="E427" s="1190">
        <v>0</v>
      </c>
      <c r="F427" s="1189">
        <v>1</v>
      </c>
      <c r="G427" s="1190">
        <v>0</v>
      </c>
      <c r="H427" s="1191">
        <v>0</v>
      </c>
      <c r="I427" s="1191">
        <v>0</v>
      </c>
      <c r="J427" s="1191">
        <v>2</v>
      </c>
      <c r="K427" s="1191">
        <v>0</v>
      </c>
      <c r="L427" s="1191">
        <v>0</v>
      </c>
      <c r="M427" s="1191">
        <v>0</v>
      </c>
      <c r="N427" s="1191">
        <v>0</v>
      </c>
      <c r="O427" s="488">
        <f t="shared" ref="O427:O432" si="117">AVERAGE(J427:N427)</f>
        <v>0.4</v>
      </c>
      <c r="P427" s="1182">
        <f>+O427/$O$452</f>
        <v>6.6956812855708072E-4</v>
      </c>
    </row>
    <row r="428" spans="1:16" x14ac:dyDescent="0.25">
      <c r="A428" s="1192" t="s">
        <v>436</v>
      </c>
      <c r="B428" s="1189">
        <v>0</v>
      </c>
      <c r="C428" s="1189">
        <v>0</v>
      </c>
      <c r="D428" s="1189">
        <v>1</v>
      </c>
      <c r="E428" s="1190">
        <v>0</v>
      </c>
      <c r="F428" s="1189">
        <v>1</v>
      </c>
      <c r="G428" s="1190">
        <v>0</v>
      </c>
      <c r="H428" s="1191">
        <v>1</v>
      </c>
      <c r="I428" s="1191">
        <v>0</v>
      </c>
      <c r="J428" s="1191">
        <v>0</v>
      </c>
      <c r="K428" s="1191">
        <v>1</v>
      </c>
      <c r="L428" s="1191">
        <v>1</v>
      </c>
      <c r="M428" s="1191">
        <v>0</v>
      </c>
      <c r="N428" s="1191">
        <v>0</v>
      </c>
      <c r="O428" s="488">
        <f t="shared" si="117"/>
        <v>0.4</v>
      </c>
      <c r="P428" s="1182">
        <f>+O428/$O$452</f>
        <v>6.6956812855708072E-4</v>
      </c>
    </row>
    <row r="429" spans="1:16" x14ac:dyDescent="0.25">
      <c r="A429" s="1186" t="s">
        <v>437</v>
      </c>
      <c r="B429" s="1178">
        <v>0</v>
      </c>
      <c r="C429" s="1178">
        <v>4</v>
      </c>
      <c r="D429" s="1178">
        <v>0</v>
      </c>
      <c r="E429" s="1179">
        <v>1</v>
      </c>
      <c r="F429" s="1178">
        <v>1</v>
      </c>
      <c r="G429" s="1179">
        <v>1</v>
      </c>
      <c r="H429" s="1180">
        <v>1</v>
      </c>
      <c r="I429" s="1180">
        <v>1</v>
      </c>
      <c r="J429" s="1180">
        <v>1</v>
      </c>
      <c r="K429" s="1180">
        <v>0</v>
      </c>
      <c r="L429" s="1180">
        <v>0</v>
      </c>
      <c r="M429" s="1180">
        <v>0</v>
      </c>
      <c r="N429" s="1180">
        <v>2</v>
      </c>
      <c r="O429" s="488">
        <f t="shared" si="117"/>
        <v>0.6</v>
      </c>
      <c r="P429" s="1182">
        <f>+O429/$O$452</f>
        <v>1.004352192835621E-3</v>
      </c>
    </row>
    <row r="430" spans="1:16" x14ac:dyDescent="0.25">
      <c r="A430" s="1186" t="s">
        <v>438</v>
      </c>
      <c r="B430" s="1178">
        <v>1</v>
      </c>
      <c r="C430" s="1178">
        <v>0</v>
      </c>
      <c r="D430" s="1178">
        <v>1</v>
      </c>
      <c r="E430" s="1179">
        <v>0</v>
      </c>
      <c r="F430" s="1178">
        <v>0</v>
      </c>
      <c r="G430" s="1179">
        <v>0</v>
      </c>
      <c r="H430" s="1180">
        <v>0</v>
      </c>
      <c r="I430" s="1180">
        <v>0</v>
      </c>
      <c r="J430" s="1180">
        <v>0</v>
      </c>
      <c r="K430" s="1180">
        <v>2</v>
      </c>
      <c r="L430" s="1180">
        <v>1</v>
      </c>
      <c r="M430" s="1180">
        <v>0</v>
      </c>
      <c r="N430" s="1180">
        <v>1</v>
      </c>
      <c r="O430" s="488">
        <f t="shared" si="117"/>
        <v>0.8</v>
      </c>
      <c r="P430" s="1182">
        <f>+O430/$O$452</f>
        <v>1.3391362571141614E-3</v>
      </c>
    </row>
    <row r="431" spans="1:16" x14ac:dyDescent="0.25">
      <c r="A431" s="1186" t="s">
        <v>439</v>
      </c>
      <c r="B431" s="1178">
        <v>3</v>
      </c>
      <c r="C431" s="1178">
        <v>2</v>
      </c>
      <c r="D431" s="1178">
        <v>0</v>
      </c>
      <c r="E431" s="1179">
        <v>0</v>
      </c>
      <c r="F431" s="1178">
        <v>1</v>
      </c>
      <c r="G431" s="1179">
        <v>1</v>
      </c>
      <c r="H431" s="1180">
        <v>0</v>
      </c>
      <c r="I431" s="1180">
        <v>0</v>
      </c>
      <c r="J431" s="1180">
        <v>1</v>
      </c>
      <c r="K431" s="1180">
        <v>1</v>
      </c>
      <c r="L431" s="1180">
        <v>0</v>
      </c>
      <c r="M431" s="1181">
        <v>1</v>
      </c>
      <c r="N431" s="1181">
        <v>1</v>
      </c>
      <c r="O431" s="488">
        <f t="shared" si="117"/>
        <v>0.8</v>
      </c>
      <c r="P431" s="1182">
        <f>+O431/$O$452</f>
        <v>1.3391362571141614E-3</v>
      </c>
    </row>
    <row r="432" spans="1:16" x14ac:dyDescent="0.25">
      <c r="A432" s="495" t="s">
        <v>35</v>
      </c>
      <c r="B432" s="471">
        <f t="shared" ref="B432:J432" si="118">SUM(B427:B431)</f>
        <v>4</v>
      </c>
      <c r="C432" s="471">
        <f t="shared" si="118"/>
        <v>7</v>
      </c>
      <c r="D432" s="471">
        <f t="shared" si="118"/>
        <v>2</v>
      </c>
      <c r="E432" s="663">
        <f t="shared" si="118"/>
        <v>1</v>
      </c>
      <c r="F432" s="471">
        <f t="shared" si="118"/>
        <v>4</v>
      </c>
      <c r="G432" s="663">
        <f t="shared" si="118"/>
        <v>2</v>
      </c>
      <c r="H432" s="488">
        <f t="shared" si="118"/>
        <v>2</v>
      </c>
      <c r="I432" s="488">
        <f t="shared" si="118"/>
        <v>1</v>
      </c>
      <c r="J432" s="488">
        <f t="shared" si="118"/>
        <v>4</v>
      </c>
      <c r="K432" s="488">
        <f>SUM(K427:K431)</f>
        <v>4</v>
      </c>
      <c r="L432" s="488">
        <f>SUM(L427:L431)</f>
        <v>2</v>
      </c>
      <c r="M432" s="488">
        <f>SUM(M427:M431)</f>
        <v>1</v>
      </c>
      <c r="N432" s="488">
        <f>SUM(N427:N431)</f>
        <v>4</v>
      </c>
      <c r="O432" s="488">
        <f t="shared" si="117"/>
        <v>3</v>
      </c>
      <c r="P432" s="494">
        <f>SUM(P427:P431)</f>
        <v>5.0217609641781055E-3</v>
      </c>
    </row>
    <row r="433" spans="1:17" x14ac:dyDescent="0.25">
      <c r="A433" s="492" t="s">
        <v>440</v>
      </c>
      <c r="B433" s="470" t="s">
        <v>853</v>
      </c>
      <c r="C433" s="470" t="s">
        <v>585</v>
      </c>
      <c r="D433" s="470" t="s">
        <v>1307</v>
      </c>
      <c r="E433" s="662" t="s">
        <v>560</v>
      </c>
      <c r="F433" s="470" t="s">
        <v>866</v>
      </c>
      <c r="G433" s="662" t="s">
        <v>620</v>
      </c>
      <c r="H433" s="489" t="s">
        <v>720</v>
      </c>
      <c r="I433" s="487" t="s">
        <v>915</v>
      </c>
      <c r="J433" s="487" t="s">
        <v>1364</v>
      </c>
      <c r="K433" s="487" t="s">
        <v>1385</v>
      </c>
      <c r="L433" s="487" t="s">
        <v>1386</v>
      </c>
      <c r="M433" s="1429" t="s">
        <v>1387</v>
      </c>
      <c r="N433" s="1429" t="s">
        <v>1535</v>
      </c>
      <c r="O433" s="489" t="s">
        <v>30</v>
      </c>
      <c r="P433" s="489" t="s">
        <v>31</v>
      </c>
    </row>
    <row r="434" spans="1:17" x14ac:dyDescent="0.25">
      <c r="A434" s="1186" t="s">
        <v>441</v>
      </c>
      <c r="B434" s="1178">
        <v>0</v>
      </c>
      <c r="C434" s="1178">
        <v>0</v>
      </c>
      <c r="D434" s="1178">
        <v>0</v>
      </c>
      <c r="E434" s="1179">
        <v>0</v>
      </c>
      <c r="F434" s="1178">
        <v>0</v>
      </c>
      <c r="G434" s="1179">
        <v>0</v>
      </c>
      <c r="H434" s="1180">
        <v>0</v>
      </c>
      <c r="I434" s="1180">
        <v>0</v>
      </c>
      <c r="J434" s="1180">
        <v>0</v>
      </c>
      <c r="K434" s="1180">
        <v>0</v>
      </c>
      <c r="L434" s="1180">
        <v>0</v>
      </c>
      <c r="M434" s="1181">
        <v>0</v>
      </c>
      <c r="N434" s="1181">
        <v>0</v>
      </c>
      <c r="O434" s="488">
        <f t="shared" ref="O434:O452" si="119">AVERAGE(J434:N434)</f>
        <v>0</v>
      </c>
      <c r="P434" s="1182">
        <f t="shared" ref="P434:P443" si="120">+O434/$O$452</f>
        <v>0</v>
      </c>
    </row>
    <row r="435" spans="1:17" x14ac:dyDescent="0.25">
      <c r="A435" s="1186" t="s">
        <v>442</v>
      </c>
      <c r="B435" s="1178">
        <v>2</v>
      </c>
      <c r="C435" s="1178">
        <v>4</v>
      </c>
      <c r="D435" s="1178">
        <v>0</v>
      </c>
      <c r="E435" s="1179">
        <v>1</v>
      </c>
      <c r="F435" s="1178">
        <v>1</v>
      </c>
      <c r="G435" s="1179">
        <v>0</v>
      </c>
      <c r="H435" s="1180">
        <v>3</v>
      </c>
      <c r="I435" s="1180">
        <v>1</v>
      </c>
      <c r="J435" s="1180">
        <v>3</v>
      </c>
      <c r="K435" s="1180">
        <v>3</v>
      </c>
      <c r="L435" s="1180">
        <v>2</v>
      </c>
      <c r="M435" s="1181">
        <v>5</v>
      </c>
      <c r="N435" s="1181">
        <v>3</v>
      </c>
      <c r="O435" s="488">
        <f t="shared" si="119"/>
        <v>3.2</v>
      </c>
      <c r="P435" s="1182">
        <f t="shared" si="120"/>
        <v>5.3565450284566458E-3</v>
      </c>
    </row>
    <row r="436" spans="1:17" x14ac:dyDescent="0.25">
      <c r="A436" s="1186" t="s">
        <v>443</v>
      </c>
      <c r="B436" s="1178">
        <v>2</v>
      </c>
      <c r="C436" s="1178">
        <v>5</v>
      </c>
      <c r="D436" s="1178">
        <v>6</v>
      </c>
      <c r="E436" s="1179">
        <v>2</v>
      </c>
      <c r="F436" s="1178">
        <v>1</v>
      </c>
      <c r="G436" s="1179">
        <v>2</v>
      </c>
      <c r="H436" s="1180">
        <v>2</v>
      </c>
      <c r="I436" s="1180">
        <v>1</v>
      </c>
      <c r="J436" s="1180">
        <v>2</v>
      </c>
      <c r="K436" s="1180">
        <v>0</v>
      </c>
      <c r="L436" s="1180">
        <v>0</v>
      </c>
      <c r="M436" s="1181">
        <v>2</v>
      </c>
      <c r="N436" s="1181">
        <v>3</v>
      </c>
      <c r="O436" s="488">
        <f t="shared" si="119"/>
        <v>1.4</v>
      </c>
      <c r="P436" s="1182">
        <f t="shared" si="120"/>
        <v>2.3434884499497822E-3</v>
      </c>
    </row>
    <row r="437" spans="1:17" x14ac:dyDescent="0.25">
      <c r="A437" s="469" t="s">
        <v>1438</v>
      </c>
      <c r="B437" s="1178">
        <v>0</v>
      </c>
      <c r="C437" s="1178">
        <v>0</v>
      </c>
      <c r="D437" s="1178">
        <v>0</v>
      </c>
      <c r="E437" s="1179">
        <v>0</v>
      </c>
      <c r="F437" s="1178">
        <v>0</v>
      </c>
      <c r="G437" s="1179">
        <v>0</v>
      </c>
      <c r="H437" s="1180">
        <v>0</v>
      </c>
      <c r="I437" s="1180">
        <v>0</v>
      </c>
      <c r="J437" s="1180">
        <v>0</v>
      </c>
      <c r="K437" s="1180">
        <v>0</v>
      </c>
      <c r="L437" s="1180">
        <v>0</v>
      </c>
      <c r="M437" s="1181">
        <v>2</v>
      </c>
      <c r="N437" s="1181">
        <v>5</v>
      </c>
      <c r="O437" s="488">
        <f t="shared" si="119"/>
        <v>1.4</v>
      </c>
      <c r="P437" s="1182">
        <f t="shared" si="120"/>
        <v>2.3434884499497822E-3</v>
      </c>
    </row>
    <row r="438" spans="1:17" x14ac:dyDescent="0.25">
      <c r="A438" s="1186" t="s">
        <v>444</v>
      </c>
      <c r="B438" s="1178">
        <v>4</v>
      </c>
      <c r="C438" s="1178">
        <v>5</v>
      </c>
      <c r="D438" s="1178">
        <v>4</v>
      </c>
      <c r="E438" s="1179">
        <v>3</v>
      </c>
      <c r="F438" s="1178">
        <v>8</v>
      </c>
      <c r="G438" s="1179">
        <v>3</v>
      </c>
      <c r="H438" s="1180">
        <v>3</v>
      </c>
      <c r="I438" s="1180">
        <v>3</v>
      </c>
      <c r="J438" s="1180">
        <v>0</v>
      </c>
      <c r="K438" s="1180">
        <v>0</v>
      </c>
      <c r="L438" s="1180">
        <v>7</v>
      </c>
      <c r="M438" s="1181">
        <v>3</v>
      </c>
      <c r="N438" s="1181">
        <v>2</v>
      </c>
      <c r="O438" s="488">
        <f t="shared" si="119"/>
        <v>2.4</v>
      </c>
      <c r="P438" s="1182">
        <f t="shared" si="120"/>
        <v>4.0174087713424839E-3</v>
      </c>
    </row>
    <row r="439" spans="1:17" x14ac:dyDescent="0.25">
      <c r="A439" s="1186" t="s">
        <v>445</v>
      </c>
      <c r="B439" s="1178">
        <v>2</v>
      </c>
      <c r="C439" s="1178">
        <v>4</v>
      </c>
      <c r="D439" s="1178">
        <v>3</v>
      </c>
      <c r="E439" s="1179">
        <v>5</v>
      </c>
      <c r="F439" s="1178">
        <v>9</v>
      </c>
      <c r="G439" s="1179">
        <v>2</v>
      </c>
      <c r="H439" s="1180">
        <v>3</v>
      </c>
      <c r="I439" s="1180">
        <v>0</v>
      </c>
      <c r="J439" s="1180">
        <v>0</v>
      </c>
      <c r="K439" s="1180">
        <v>2</v>
      </c>
      <c r="L439" s="1180">
        <v>5</v>
      </c>
      <c r="M439" s="1181">
        <v>1</v>
      </c>
      <c r="N439" s="1181">
        <v>4</v>
      </c>
      <c r="O439" s="488">
        <f t="shared" si="119"/>
        <v>2.4</v>
      </c>
      <c r="P439" s="1182">
        <f t="shared" si="120"/>
        <v>4.0174087713424839E-3</v>
      </c>
    </row>
    <row r="440" spans="1:17" x14ac:dyDescent="0.25">
      <c r="A440" s="1187" t="s">
        <v>1439</v>
      </c>
      <c r="B440" s="1178"/>
      <c r="C440" s="1178"/>
      <c r="D440" s="1178"/>
      <c r="E440" s="1179">
        <v>0</v>
      </c>
      <c r="F440" s="1178">
        <v>0</v>
      </c>
      <c r="G440" s="1179">
        <v>0</v>
      </c>
      <c r="H440" s="1180">
        <v>0</v>
      </c>
      <c r="I440" s="1180">
        <v>0</v>
      </c>
      <c r="J440" s="1180">
        <v>0</v>
      </c>
      <c r="K440" s="1180">
        <v>0</v>
      </c>
      <c r="L440" s="1180">
        <v>1</v>
      </c>
      <c r="M440" s="1181">
        <v>1</v>
      </c>
      <c r="N440" s="1181">
        <v>6</v>
      </c>
      <c r="O440" s="488">
        <f t="shared" si="119"/>
        <v>1.6</v>
      </c>
      <c r="P440" s="1182">
        <f t="shared" si="120"/>
        <v>2.6782725142283229E-3</v>
      </c>
    </row>
    <row r="441" spans="1:17" x14ac:dyDescent="0.25">
      <c r="A441" s="1186" t="s">
        <v>446</v>
      </c>
      <c r="B441" s="1178">
        <v>0</v>
      </c>
      <c r="C441" s="1178">
        <v>0</v>
      </c>
      <c r="D441" s="1178">
        <v>1</v>
      </c>
      <c r="E441" s="1179">
        <v>0</v>
      </c>
      <c r="F441" s="1178">
        <v>0</v>
      </c>
      <c r="G441" s="1179">
        <v>0</v>
      </c>
      <c r="H441" s="1180">
        <v>0</v>
      </c>
      <c r="I441" s="1180">
        <v>1</v>
      </c>
      <c r="J441" s="1180">
        <v>0</v>
      </c>
      <c r="K441" s="1180">
        <v>0</v>
      </c>
      <c r="L441" s="1180">
        <v>0</v>
      </c>
      <c r="M441" s="1181">
        <v>0</v>
      </c>
      <c r="N441" s="1181">
        <v>1</v>
      </c>
      <c r="O441" s="488">
        <f t="shared" si="119"/>
        <v>0.2</v>
      </c>
      <c r="P441" s="1182">
        <f t="shared" si="120"/>
        <v>3.3478406427854036E-4</v>
      </c>
    </row>
    <row r="442" spans="1:17" x14ac:dyDescent="0.25">
      <c r="A442" s="1186" t="s">
        <v>447</v>
      </c>
      <c r="B442" s="1178">
        <v>0</v>
      </c>
      <c r="C442" s="1178">
        <v>1</v>
      </c>
      <c r="D442" s="1178">
        <v>0</v>
      </c>
      <c r="E442" s="1179">
        <v>0</v>
      </c>
      <c r="F442" s="1178">
        <v>1</v>
      </c>
      <c r="G442" s="1179">
        <v>1</v>
      </c>
      <c r="H442" s="1180">
        <v>0</v>
      </c>
      <c r="I442" s="1180">
        <v>0</v>
      </c>
      <c r="J442" s="1180">
        <v>0</v>
      </c>
      <c r="K442" s="1180">
        <v>0</v>
      </c>
      <c r="L442" s="1180">
        <v>0</v>
      </c>
      <c r="M442" s="1181">
        <v>0</v>
      </c>
      <c r="N442" s="1181">
        <v>2</v>
      </c>
      <c r="O442" s="488">
        <f t="shared" si="119"/>
        <v>0.4</v>
      </c>
      <c r="P442" s="1182">
        <f t="shared" si="120"/>
        <v>6.6956812855708072E-4</v>
      </c>
    </row>
    <row r="443" spans="1:17" x14ac:dyDescent="0.25">
      <c r="A443" s="1186" t="s">
        <v>448</v>
      </c>
      <c r="B443" s="1178">
        <v>1</v>
      </c>
      <c r="C443" s="1178">
        <v>3</v>
      </c>
      <c r="D443" s="1178">
        <v>6</v>
      </c>
      <c r="E443" s="1179">
        <v>5</v>
      </c>
      <c r="F443" s="1178">
        <v>7</v>
      </c>
      <c r="G443" s="1179">
        <v>4</v>
      </c>
      <c r="H443" s="1180">
        <v>4</v>
      </c>
      <c r="I443" s="1180">
        <v>2</v>
      </c>
      <c r="J443" s="1180">
        <v>2</v>
      </c>
      <c r="K443" s="1180">
        <v>2</v>
      </c>
      <c r="L443" s="1180">
        <v>1</v>
      </c>
      <c r="M443" s="1181">
        <v>1</v>
      </c>
      <c r="N443" s="1181">
        <v>5</v>
      </c>
      <c r="O443" s="488">
        <f t="shared" si="119"/>
        <v>2.2000000000000002</v>
      </c>
      <c r="P443" s="1182">
        <f t="shared" si="120"/>
        <v>3.6826247070639441E-3</v>
      </c>
    </row>
    <row r="444" spans="1:17" x14ac:dyDescent="0.25">
      <c r="A444" s="495" t="s">
        <v>35</v>
      </c>
      <c r="B444" s="471">
        <f t="shared" ref="B444:J444" si="121">SUM(B434:B443)</f>
        <v>11</v>
      </c>
      <c r="C444" s="471">
        <f t="shared" si="121"/>
        <v>22</v>
      </c>
      <c r="D444" s="471">
        <f t="shared" si="121"/>
        <v>20</v>
      </c>
      <c r="E444" s="663">
        <f t="shared" si="121"/>
        <v>16</v>
      </c>
      <c r="F444" s="471">
        <f t="shared" si="121"/>
        <v>27</v>
      </c>
      <c r="G444" s="663">
        <f t="shared" si="121"/>
        <v>12</v>
      </c>
      <c r="H444" s="488">
        <f t="shared" si="121"/>
        <v>15</v>
      </c>
      <c r="I444" s="488">
        <f>SUM(I434:I443)</f>
        <v>8</v>
      </c>
      <c r="J444" s="488">
        <f t="shared" si="121"/>
        <v>7</v>
      </c>
      <c r="K444" s="488">
        <f>SUM(K434:K443)</f>
        <v>7</v>
      </c>
      <c r="L444" s="488">
        <f>SUM(L434:L443)</f>
        <v>16</v>
      </c>
      <c r="M444" s="488">
        <f>SUM(M434:M443)</f>
        <v>15</v>
      </c>
      <c r="N444" s="488">
        <f>SUM(N434:N443)</f>
        <v>31</v>
      </c>
      <c r="O444" s="488">
        <f t="shared" si="119"/>
        <v>15.2</v>
      </c>
      <c r="P444" s="494">
        <f>SUM(P434:P443)</f>
        <v>2.5443588885169066E-2</v>
      </c>
    </row>
    <row r="445" spans="1:17" x14ac:dyDescent="0.25">
      <c r="A445" s="492" t="s">
        <v>449</v>
      </c>
      <c r="B445" s="472">
        <f t="shared" ref="B445:H445" si="122">+B9+B23+B26+B38+B43+B50+B62+B76+B80+B118+B123+B128+B135+B142+B148+B155+B162+B172+B176+B180+B193+B202+B231+B243+B248+B259+B265+B272+B278+B284+B291+B309+B313+B321+B325+B331+B338+B352+B359+B386+B389+B407+B419+B425+B432+B444</f>
        <v>937</v>
      </c>
      <c r="C445" s="472">
        <f t="shared" si="122"/>
        <v>846</v>
      </c>
      <c r="D445" s="472">
        <f t="shared" si="122"/>
        <v>955</v>
      </c>
      <c r="E445" s="664">
        <f t="shared" si="122"/>
        <v>518</v>
      </c>
      <c r="F445" s="472">
        <f t="shared" si="122"/>
        <v>610</v>
      </c>
      <c r="G445" s="664">
        <f t="shared" si="122"/>
        <v>548</v>
      </c>
      <c r="H445" s="514">
        <f t="shared" si="122"/>
        <v>536</v>
      </c>
      <c r="I445" s="514">
        <f t="shared" ref="I445:N445" si="123">+I9+I23+I26+I38+I43+I50+I62+I76+I80+I118+I123+I128+I135+I142+I148+I155+I162+I172+I176+I180+I193+I202+I231+I243+I248+I259+I265+I272+I278+I284+I291+I309+I313+I321+I325+I331+I338+I352+I359+I386+I389+I407+I419+I425+I432+I444+I26</f>
        <v>395</v>
      </c>
      <c r="J445" s="514">
        <f t="shared" si="123"/>
        <v>497</v>
      </c>
      <c r="K445" s="514">
        <f t="shared" si="123"/>
        <v>513</v>
      </c>
      <c r="L445" s="514">
        <f t="shared" si="123"/>
        <v>636</v>
      </c>
      <c r="M445" s="514">
        <f t="shared" si="123"/>
        <v>558</v>
      </c>
      <c r="N445" s="514">
        <f t="shared" si="123"/>
        <v>511</v>
      </c>
      <c r="O445" s="1430">
        <f t="shared" si="119"/>
        <v>543</v>
      </c>
      <c r="P445" s="496">
        <f>+P9+P23+P26+P38+P43+P50+P62+P76+P80+P118+P123+P128+P135+P142+P148+P155+P162+P172+P176+P180+P193+P202+P231+P243+P248+P259+P265+P272+P278+P284+P291+P309+P313+P321+P325+P331+P338+P352+P359+P386+P389+P407+P419+P425+P432+P444</f>
        <v>0.90592567793773005</v>
      </c>
    </row>
    <row r="446" spans="1:17" x14ac:dyDescent="0.25">
      <c r="A446" s="1186" t="s">
        <v>1265</v>
      </c>
      <c r="B446" s="1178">
        <v>28</v>
      </c>
      <c r="C446" s="1178">
        <v>23</v>
      </c>
      <c r="D446" s="1198">
        <v>20</v>
      </c>
      <c r="E446" s="1199">
        <v>18</v>
      </c>
      <c r="F446" s="1198">
        <v>28</v>
      </c>
      <c r="G446" s="1199">
        <v>25</v>
      </c>
      <c r="H446" s="1181">
        <v>34</v>
      </c>
      <c r="I446" s="1181">
        <v>30</v>
      </c>
      <c r="J446" s="1181">
        <v>46</v>
      </c>
      <c r="K446" s="1181">
        <v>38</v>
      </c>
      <c r="L446" s="1181">
        <v>40</v>
      </c>
      <c r="M446" s="1181">
        <v>26</v>
      </c>
      <c r="N446" s="1181">
        <v>40</v>
      </c>
      <c r="O446" s="488">
        <f t="shared" si="119"/>
        <v>38</v>
      </c>
      <c r="P446" s="1182">
        <f t="shared" ref="P446:P451" si="124">+O446/$O$452</f>
        <v>6.3608972212922665E-2</v>
      </c>
      <c r="Q446" s="1200"/>
    </row>
    <row r="447" spans="1:17" x14ac:dyDescent="0.25">
      <c r="A447" s="1186" t="s">
        <v>1208</v>
      </c>
      <c r="B447" s="1178">
        <v>11</v>
      </c>
      <c r="C447" s="1178">
        <v>9</v>
      </c>
      <c r="D447" s="1198">
        <v>6</v>
      </c>
      <c r="E447" s="1199">
        <v>6</v>
      </c>
      <c r="F447" s="1198">
        <v>10</v>
      </c>
      <c r="G447" s="1199">
        <v>3</v>
      </c>
      <c r="H447" s="1181">
        <v>8</v>
      </c>
      <c r="I447" s="1181">
        <v>2</v>
      </c>
      <c r="J447" s="1181">
        <v>8</v>
      </c>
      <c r="K447" s="1181">
        <v>23</v>
      </c>
      <c r="L447" s="1181">
        <v>6</v>
      </c>
      <c r="M447" s="1181">
        <v>6</v>
      </c>
      <c r="N447" s="1181">
        <v>6</v>
      </c>
      <c r="O447" s="488">
        <f t="shared" si="119"/>
        <v>9.8000000000000007</v>
      </c>
      <c r="P447" s="1182">
        <f t="shared" si="124"/>
        <v>1.6404419149648478E-2</v>
      </c>
    </row>
    <row r="448" spans="1:17" x14ac:dyDescent="0.25">
      <c r="A448" s="1186" t="s">
        <v>450</v>
      </c>
      <c r="B448" s="1178">
        <v>0</v>
      </c>
      <c r="C448" s="1178">
        <v>2</v>
      </c>
      <c r="D448" s="1178">
        <v>2</v>
      </c>
      <c r="E448" s="1179">
        <v>4</v>
      </c>
      <c r="F448" s="1178">
        <v>1</v>
      </c>
      <c r="G448" s="1179">
        <v>1</v>
      </c>
      <c r="H448" s="1180">
        <v>1</v>
      </c>
      <c r="I448" s="1180">
        <v>2</v>
      </c>
      <c r="J448" s="1180">
        <v>0</v>
      </c>
      <c r="K448" s="1180">
        <v>1</v>
      </c>
      <c r="L448" s="1180">
        <v>0</v>
      </c>
      <c r="M448" s="1180">
        <v>0</v>
      </c>
      <c r="N448" s="1180">
        <v>9</v>
      </c>
      <c r="O448" s="488">
        <f t="shared" si="119"/>
        <v>2</v>
      </c>
      <c r="P448" s="1182">
        <f t="shared" si="124"/>
        <v>3.3478406427854034E-3</v>
      </c>
    </row>
    <row r="449" spans="1:16" x14ac:dyDescent="0.25">
      <c r="A449" s="1186" t="s">
        <v>451</v>
      </c>
      <c r="B449" s="1178">
        <v>0</v>
      </c>
      <c r="C449" s="1178">
        <v>2</v>
      </c>
      <c r="D449" s="1178">
        <v>1</v>
      </c>
      <c r="E449" s="1179">
        <v>1</v>
      </c>
      <c r="F449" s="1178">
        <v>3</v>
      </c>
      <c r="G449" s="1179">
        <v>0</v>
      </c>
      <c r="H449" s="1180">
        <v>1</v>
      </c>
      <c r="I449" s="1180">
        <v>3</v>
      </c>
      <c r="J449" s="1180">
        <v>4</v>
      </c>
      <c r="K449" s="1180">
        <v>5</v>
      </c>
      <c r="L449" s="1180">
        <v>4</v>
      </c>
      <c r="M449" s="1180">
        <v>3</v>
      </c>
      <c r="N449" s="1180">
        <v>3</v>
      </c>
      <c r="O449" s="488">
        <f t="shared" si="119"/>
        <v>3.8</v>
      </c>
      <c r="P449" s="1182">
        <f t="shared" si="124"/>
        <v>6.3608972212922665E-3</v>
      </c>
    </row>
    <row r="450" spans="1:16" x14ac:dyDescent="0.25">
      <c r="A450" s="1186" t="s">
        <v>452</v>
      </c>
      <c r="B450" s="1178">
        <v>0</v>
      </c>
      <c r="C450" s="1178">
        <v>0</v>
      </c>
      <c r="D450" s="1178">
        <v>0</v>
      </c>
      <c r="E450" s="1179">
        <v>0</v>
      </c>
      <c r="F450" s="1178">
        <v>0</v>
      </c>
      <c r="G450" s="1179">
        <v>0</v>
      </c>
      <c r="H450" s="1180">
        <v>0</v>
      </c>
      <c r="I450" s="1180">
        <v>1</v>
      </c>
      <c r="J450" s="1180">
        <v>0</v>
      </c>
      <c r="K450" s="1180">
        <v>0</v>
      </c>
      <c r="L450" s="1180">
        <v>0</v>
      </c>
      <c r="M450" s="1180">
        <v>0</v>
      </c>
      <c r="N450" s="1180">
        <v>0</v>
      </c>
      <c r="O450" s="488">
        <f t="shared" si="119"/>
        <v>0</v>
      </c>
      <c r="P450" s="1182">
        <f t="shared" si="124"/>
        <v>0</v>
      </c>
    </row>
    <row r="451" spans="1:16" x14ac:dyDescent="0.25">
      <c r="A451" s="1186" t="s">
        <v>453</v>
      </c>
      <c r="B451" s="1178">
        <v>0</v>
      </c>
      <c r="C451" s="1178">
        <v>0</v>
      </c>
      <c r="D451" s="1178">
        <v>0</v>
      </c>
      <c r="E451" s="1179">
        <v>0</v>
      </c>
      <c r="F451" s="1178">
        <v>3</v>
      </c>
      <c r="G451" s="1179">
        <v>0</v>
      </c>
      <c r="H451" s="1180">
        <v>0</v>
      </c>
      <c r="I451" s="1180">
        <v>0</v>
      </c>
      <c r="J451" s="1180">
        <v>0</v>
      </c>
      <c r="K451" s="1180">
        <v>2</v>
      </c>
      <c r="L451" s="1180">
        <v>0</v>
      </c>
      <c r="M451" s="1180">
        <v>2</v>
      </c>
      <c r="N451" s="1180">
        <v>0</v>
      </c>
      <c r="O451" s="488">
        <f t="shared" si="119"/>
        <v>0.8</v>
      </c>
      <c r="P451" s="1182">
        <f t="shared" si="124"/>
        <v>1.3391362571141614E-3</v>
      </c>
    </row>
    <row r="452" spans="1:16" ht="13.8" thickBot="1" x14ac:dyDescent="0.3">
      <c r="A452" s="497" t="s">
        <v>949</v>
      </c>
      <c r="B452" s="498">
        <f>SUM($B$445:$B$451)</f>
        <v>976</v>
      </c>
      <c r="C452" s="498">
        <f>SUM($C$445:$C$451)</f>
        <v>882</v>
      </c>
      <c r="D452" s="498">
        <f>SUM($D$445:$D$451)</f>
        <v>984</v>
      </c>
      <c r="E452" s="665">
        <f>SUM($E$445:$E$451)</f>
        <v>547</v>
      </c>
      <c r="F452" s="498">
        <f>SUM($F$445:$F$451)</f>
        <v>655</v>
      </c>
      <c r="G452" s="665">
        <f>SUM($G$445:$G$451)</f>
        <v>577</v>
      </c>
      <c r="H452" s="515">
        <f>SUM($H$445:$H$451)</f>
        <v>580</v>
      </c>
      <c r="I452" s="515">
        <f>SUM($I$445:$I$451)</f>
        <v>433</v>
      </c>
      <c r="J452" s="515">
        <f>SUM($J$445:$J$451)</f>
        <v>555</v>
      </c>
      <c r="K452" s="515">
        <f>SUM($K$445:$K$451)</f>
        <v>582</v>
      </c>
      <c r="L452" s="515">
        <f>SUM($L$445:$L$451)</f>
        <v>686</v>
      </c>
      <c r="M452" s="515">
        <f>SUM($M$445:$M$451)</f>
        <v>595</v>
      </c>
      <c r="N452" s="515">
        <f>SUM($N$445:$N$451)</f>
        <v>569</v>
      </c>
      <c r="O452" s="515">
        <f t="shared" si="119"/>
        <v>597.4</v>
      </c>
      <c r="P452" s="499">
        <f>SUM($P$445:$P$451)</f>
        <v>0.99698694342149308</v>
      </c>
    </row>
    <row r="453" spans="1:16" x14ac:dyDescent="0.25">
      <c r="B453" s="1183"/>
      <c r="C453" s="1183"/>
      <c r="D453" s="1183"/>
      <c r="E453" s="473"/>
      <c r="F453" s="473"/>
      <c r="G453" s="473"/>
      <c r="H453" s="473"/>
      <c r="I453" s="473"/>
      <c r="J453" s="473"/>
      <c r="K453" s="473"/>
      <c r="L453" s="473"/>
      <c r="M453" s="473"/>
      <c r="N453" s="473"/>
      <c r="O453" s="1183"/>
    </row>
  </sheetData>
  <mergeCells count="3">
    <mergeCell ref="A1:P1"/>
    <mergeCell ref="A2:P2"/>
    <mergeCell ref="B4:N4"/>
  </mergeCells>
  <pageMargins left="0.7" right="0.7" top="0.75" bottom="0.75" header="0.3" footer="0.3"/>
  <pageSetup scale="69" orientation="portrait" r:id="rId1"/>
  <rowBreaks count="5" manualBreakCount="5">
    <brk id="76" max="16383" man="1"/>
    <brk id="155" max="16383" man="1"/>
    <brk id="231" max="16383" man="1"/>
    <brk id="309" max="16383" man="1"/>
    <brk id="389"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8">
    <pageSetUpPr fitToPage="1"/>
  </sheetPr>
  <dimension ref="A1:P14"/>
  <sheetViews>
    <sheetView workbookViewId="0">
      <selection sqref="A1:G1"/>
    </sheetView>
  </sheetViews>
  <sheetFormatPr defaultColWidth="6.6640625" defaultRowHeight="13.2" x14ac:dyDescent="0.25"/>
  <cols>
    <col min="1" max="1" width="6.6640625" style="1" customWidth="1"/>
    <col min="2" max="3" width="15.6640625" style="1" customWidth="1"/>
    <col min="4" max="4" width="15.6640625" style="104" customWidth="1"/>
    <col min="5" max="5" width="15.6640625" style="1" customWidth="1"/>
    <col min="6" max="6" width="15.6640625" style="104" customWidth="1"/>
    <col min="7" max="7" width="15.6640625" style="1" customWidth="1"/>
    <col min="8" max="9" width="12.33203125" style="1" customWidth="1"/>
    <col min="10" max="10" width="5.88671875" style="930" customWidth="1"/>
    <col min="11" max="11" width="15.5546875" style="930" customWidth="1"/>
    <col min="12" max="13" width="16" style="930" customWidth="1"/>
    <col min="14" max="14" width="6.6640625" style="930" customWidth="1"/>
    <col min="15" max="16384" width="6.6640625" style="1"/>
  </cols>
  <sheetData>
    <row r="1" spans="1:16" ht="20.100000000000001" customHeight="1" x14ac:dyDescent="0.25">
      <c r="A1" s="1694" t="s">
        <v>806</v>
      </c>
      <c r="B1" s="1694"/>
      <c r="C1" s="1694"/>
      <c r="D1" s="1694"/>
      <c r="E1" s="1694"/>
      <c r="F1" s="1694"/>
      <c r="G1" s="1694"/>
    </row>
    <row r="2" spans="1:16" ht="20.100000000000001" customHeight="1" x14ac:dyDescent="0.25">
      <c r="A2" s="14"/>
      <c r="B2" s="15"/>
      <c r="C2" s="15"/>
      <c r="D2" s="105"/>
      <c r="E2" s="15"/>
      <c r="F2" s="105"/>
    </row>
    <row r="3" spans="1:16" s="13" customFormat="1" ht="36.9" customHeight="1" x14ac:dyDescent="0.3">
      <c r="A3" s="16" t="s">
        <v>764</v>
      </c>
      <c r="B3" s="17" t="s">
        <v>765</v>
      </c>
      <c r="C3" s="18" t="s">
        <v>766</v>
      </c>
      <c r="D3" s="106" t="s">
        <v>767</v>
      </c>
      <c r="E3" s="18" t="s">
        <v>768</v>
      </c>
      <c r="F3" s="106" t="s">
        <v>769</v>
      </c>
      <c r="G3" s="106" t="s">
        <v>1320</v>
      </c>
      <c r="H3" s="1"/>
      <c r="I3" s="1"/>
      <c r="J3" s="19" t="s">
        <v>770</v>
      </c>
      <c r="K3" s="17" t="s">
        <v>765</v>
      </c>
      <c r="L3" s="18" t="s">
        <v>766</v>
      </c>
      <c r="M3" s="18" t="s">
        <v>768</v>
      </c>
      <c r="N3" s="931"/>
    </row>
    <row r="4" spans="1:16" x14ac:dyDescent="0.25">
      <c r="A4" s="440"/>
      <c r="B4" s="456"/>
      <c r="C4" s="456"/>
      <c r="D4" s="457"/>
      <c r="E4" s="456"/>
      <c r="F4" s="457"/>
      <c r="G4" s="481"/>
      <c r="J4" s="107"/>
      <c r="K4" s="932"/>
      <c r="L4" s="932"/>
      <c r="M4" s="933"/>
      <c r="O4" s="8"/>
      <c r="P4" s="8"/>
    </row>
    <row r="5" spans="1:16" x14ac:dyDescent="0.25">
      <c r="A5" s="22">
        <v>2007</v>
      </c>
      <c r="B5" s="21">
        <v>611</v>
      </c>
      <c r="C5" s="21">
        <v>298</v>
      </c>
      <c r="D5" s="23">
        <f>C5/B5</f>
        <v>0.48772504091653029</v>
      </c>
      <c r="E5" s="21">
        <v>215</v>
      </c>
      <c r="F5" s="23">
        <f>E5/B5</f>
        <v>0.35188216039279868</v>
      </c>
      <c r="G5" s="480">
        <f>+E5/C5</f>
        <v>0.72147651006711411</v>
      </c>
      <c r="J5" s="20">
        <f>A5</f>
        <v>2007</v>
      </c>
      <c r="K5" s="934">
        <f>B5</f>
        <v>611</v>
      </c>
      <c r="L5" s="934">
        <f>C5</f>
        <v>298</v>
      </c>
      <c r="M5" s="934">
        <f>E5</f>
        <v>215</v>
      </c>
    </row>
    <row r="6" spans="1:16" x14ac:dyDescent="0.25">
      <c r="A6" s="440"/>
      <c r="B6" s="456"/>
      <c r="C6" s="456"/>
      <c r="D6" s="457"/>
      <c r="E6" s="456"/>
      <c r="F6" s="457"/>
      <c r="G6" s="481"/>
      <c r="J6" s="107"/>
      <c r="K6" s="932"/>
      <c r="L6" s="932"/>
      <c r="M6" s="933"/>
      <c r="O6" s="8"/>
      <c r="P6" s="8"/>
    </row>
    <row r="7" spans="1:16" x14ac:dyDescent="0.25">
      <c r="A7" s="22">
        <f>A5+1</f>
        <v>2008</v>
      </c>
      <c r="B7" s="21">
        <v>585</v>
      </c>
      <c r="C7" s="21">
        <v>343</v>
      </c>
      <c r="D7" s="23">
        <f>C7/B7</f>
        <v>0.58632478632478635</v>
      </c>
      <c r="E7" s="21">
        <v>248</v>
      </c>
      <c r="F7" s="23">
        <f>E7/B7</f>
        <v>0.42393162393162392</v>
      </c>
      <c r="G7" s="480">
        <f>+E7/C7</f>
        <v>0.72303206997084546</v>
      </c>
      <c r="J7" s="20">
        <f>A7</f>
        <v>2008</v>
      </c>
      <c r="K7" s="934">
        <f>B7</f>
        <v>585</v>
      </c>
      <c r="L7" s="934">
        <f>C7</f>
        <v>343</v>
      </c>
      <c r="M7" s="934">
        <f>E7</f>
        <v>248</v>
      </c>
    </row>
    <row r="8" spans="1:16" x14ac:dyDescent="0.25">
      <c r="A8" s="440"/>
      <c r="B8" s="456"/>
      <c r="C8" s="456"/>
      <c r="D8" s="457"/>
      <c r="E8" s="456"/>
      <c r="F8" s="457"/>
      <c r="G8" s="481"/>
      <c r="J8" s="107"/>
      <c r="K8" s="932"/>
      <c r="L8" s="932"/>
      <c r="M8" s="933"/>
      <c r="O8" s="8"/>
      <c r="P8" s="8"/>
    </row>
    <row r="9" spans="1:16" x14ac:dyDescent="0.25">
      <c r="A9" s="22">
        <v>2009</v>
      </c>
      <c r="B9" s="21">
        <v>617</v>
      </c>
      <c r="C9" s="21">
        <v>334</v>
      </c>
      <c r="D9" s="23">
        <f>C9/B9</f>
        <v>0.54132901134521882</v>
      </c>
      <c r="E9" s="21">
        <v>216</v>
      </c>
      <c r="F9" s="23">
        <f>E9/B9</f>
        <v>0.35008103727714751</v>
      </c>
      <c r="G9" s="480">
        <f>+E9/C9</f>
        <v>0.6467065868263473</v>
      </c>
      <c r="J9" s="20">
        <f>A9</f>
        <v>2009</v>
      </c>
      <c r="K9" s="934">
        <f>B9</f>
        <v>617</v>
      </c>
      <c r="L9" s="934">
        <f>C9</f>
        <v>334</v>
      </c>
      <c r="M9" s="934">
        <f>E9</f>
        <v>216</v>
      </c>
    </row>
    <row r="10" spans="1:16" x14ac:dyDescent="0.25">
      <c r="A10" s="440"/>
      <c r="B10" s="456"/>
      <c r="C10" s="456"/>
      <c r="D10" s="457"/>
      <c r="E10" s="456"/>
      <c r="F10" s="457"/>
      <c r="G10" s="481"/>
      <c r="J10" s="107"/>
      <c r="K10" s="932"/>
      <c r="L10" s="932"/>
      <c r="M10" s="933"/>
      <c r="O10" s="8"/>
      <c r="P10" s="8"/>
    </row>
    <row r="11" spans="1:16" x14ac:dyDescent="0.25">
      <c r="A11" s="22">
        <v>2010</v>
      </c>
      <c r="B11" s="21">
        <v>639</v>
      </c>
      <c r="C11" s="21">
        <v>299</v>
      </c>
      <c r="D11" s="23">
        <f>C11/B11</f>
        <v>0.46791862284820029</v>
      </c>
      <c r="E11" s="21">
        <v>201</v>
      </c>
      <c r="F11" s="23">
        <f>E11/B11</f>
        <v>0.31455399061032863</v>
      </c>
      <c r="G11" s="480">
        <f>+E11/C11</f>
        <v>0.67224080267558528</v>
      </c>
      <c r="J11" s="20">
        <f>A11</f>
        <v>2010</v>
      </c>
      <c r="K11" s="934">
        <f>B11</f>
        <v>639</v>
      </c>
      <c r="L11" s="934">
        <f>C11</f>
        <v>299</v>
      </c>
      <c r="M11" s="934">
        <f>E11</f>
        <v>201</v>
      </c>
    </row>
    <row r="12" spans="1:16" x14ac:dyDescent="0.25">
      <c r="A12" s="440"/>
      <c r="B12" s="456"/>
      <c r="C12" s="456"/>
      <c r="D12" s="457"/>
      <c r="E12" s="456"/>
      <c r="F12" s="457"/>
      <c r="G12" s="481"/>
      <c r="J12" s="107"/>
      <c r="K12" s="932"/>
      <c r="L12" s="932"/>
      <c r="M12" s="933"/>
      <c r="O12" s="8"/>
      <c r="P12" s="8"/>
    </row>
    <row r="13" spans="1:16" x14ac:dyDescent="0.25">
      <c r="A13" s="22">
        <v>2012</v>
      </c>
      <c r="B13" s="21">
        <v>598</v>
      </c>
      <c r="C13" s="21">
        <v>311</v>
      </c>
      <c r="D13" s="23">
        <f>C13/B13</f>
        <v>0.52006688963210701</v>
      </c>
      <c r="E13" s="21">
        <v>203</v>
      </c>
      <c r="F13" s="23">
        <f>E13/B13</f>
        <v>0.33946488294314381</v>
      </c>
      <c r="G13" s="480">
        <f>+E13/C13</f>
        <v>0.65273311897106112</v>
      </c>
      <c r="J13" s="20">
        <f>A13</f>
        <v>2012</v>
      </c>
      <c r="K13" s="934">
        <f>B13</f>
        <v>598</v>
      </c>
      <c r="L13" s="934">
        <f>C13</f>
        <v>311</v>
      </c>
      <c r="M13" s="934">
        <f>E13</f>
        <v>203</v>
      </c>
    </row>
    <row r="14" spans="1:16" x14ac:dyDescent="0.25">
      <c r="J14" s="1"/>
      <c r="K14" s="1"/>
      <c r="L14" s="1"/>
      <c r="M14" s="1"/>
    </row>
  </sheetData>
  <mergeCells count="1">
    <mergeCell ref="A1:G1"/>
  </mergeCells>
  <phoneticPr fontId="15" type="noConversion"/>
  <printOptions horizontalCentered="1" verticalCentered="1"/>
  <pageMargins left="0.75" right="0.75" top="1" bottom="0.7" header="0.5" footer="0.5"/>
  <pageSetup orientation="landscape" r:id="rId1"/>
  <headerFooter alignWithMargins="0">
    <oddHeader xml:space="preserve">&amp;C </oddHeader>
    <oddFooter>&amp;C &amp;R&amp;8Source: Office of Admissions</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9"/>
  <dimension ref="A1:G44"/>
  <sheetViews>
    <sheetView workbookViewId="0">
      <selection sqref="A1:F1"/>
    </sheetView>
  </sheetViews>
  <sheetFormatPr defaultColWidth="6.6640625" defaultRowHeight="13.2" x14ac:dyDescent="0.25"/>
  <cols>
    <col min="1" max="1" width="23.33203125" style="24" customWidth="1"/>
    <col min="2" max="2" width="10.88671875" style="24" customWidth="1"/>
    <col min="3" max="3" width="14" style="25" customWidth="1"/>
    <col min="4" max="4" width="10.88671875" style="24" customWidth="1"/>
    <col min="5" max="5" width="14" style="25" customWidth="1"/>
    <col min="6" max="6" width="8.5546875" style="24" customWidth="1"/>
    <col min="7" max="16384" width="6.6640625" style="24"/>
  </cols>
  <sheetData>
    <row r="1" spans="1:6" s="26" customFormat="1" ht="17.399999999999999" x14ac:dyDescent="0.3">
      <c r="A1" s="1695" t="s">
        <v>808</v>
      </c>
      <c r="B1" s="1695"/>
      <c r="C1" s="1695"/>
      <c r="D1" s="1695"/>
      <c r="E1" s="1695"/>
      <c r="F1" s="1695"/>
    </row>
    <row r="2" spans="1:6" s="26" customFormat="1" ht="18" thickBot="1" x14ac:dyDescent="0.35">
      <c r="A2" s="27"/>
      <c r="B2" s="27"/>
      <c r="C2" s="28"/>
      <c r="D2" s="27"/>
      <c r="E2" s="28"/>
      <c r="F2" s="27"/>
    </row>
    <row r="3" spans="1:6" x14ac:dyDescent="0.25">
      <c r="A3" s="29" t="s">
        <v>772</v>
      </c>
      <c r="B3" s="30" t="s">
        <v>773</v>
      </c>
      <c r="C3" s="31"/>
      <c r="D3" s="30" t="s">
        <v>775</v>
      </c>
      <c r="E3" s="32"/>
      <c r="F3" s="33" t="s">
        <v>776</v>
      </c>
    </row>
    <row r="4" spans="1:6" x14ac:dyDescent="0.25">
      <c r="A4" s="108" t="s">
        <v>777</v>
      </c>
      <c r="B4" s="109" t="s">
        <v>778</v>
      </c>
      <c r="C4" s="110" t="s">
        <v>779</v>
      </c>
      <c r="D4" s="109" t="s">
        <v>778</v>
      </c>
      <c r="E4" s="111" t="s">
        <v>779</v>
      </c>
      <c r="F4" s="112" t="s">
        <v>780</v>
      </c>
    </row>
    <row r="5" spans="1:6" ht="12" hidden="1" customHeight="1" x14ac:dyDescent="0.25">
      <c r="A5" s="449"/>
      <c r="B5" s="450"/>
      <c r="C5" s="451"/>
      <c r="D5" s="450"/>
      <c r="E5" s="452"/>
      <c r="F5" s="453"/>
    </row>
    <row r="6" spans="1:6" hidden="1" x14ac:dyDescent="0.25">
      <c r="A6" s="50">
        <v>2001</v>
      </c>
      <c r="B6" s="113">
        <v>176</v>
      </c>
      <c r="C6" s="52">
        <f>B6/F6</f>
        <v>0.41411764705882353</v>
      </c>
      <c r="D6" s="113">
        <v>249</v>
      </c>
      <c r="E6" s="53">
        <f>D6/F6</f>
        <v>0.58588235294117652</v>
      </c>
      <c r="F6" s="54">
        <f>SUM(B6,D6)</f>
        <v>425</v>
      </c>
    </row>
    <row r="7" spans="1:6" x14ac:dyDescent="0.25">
      <c r="A7" s="449"/>
      <c r="B7" s="450"/>
      <c r="C7" s="451"/>
      <c r="D7" s="450"/>
      <c r="E7" s="452"/>
      <c r="F7" s="453"/>
    </row>
    <row r="8" spans="1:6" x14ac:dyDescent="0.25">
      <c r="A8" s="50">
        <v>2008</v>
      </c>
      <c r="B8" s="113">
        <v>216</v>
      </c>
      <c r="C8" s="52">
        <f>B8/F8</f>
        <v>0.353518821603928</v>
      </c>
      <c r="D8" s="113">
        <v>395</v>
      </c>
      <c r="E8" s="53">
        <f>D8/F8</f>
        <v>0.646481178396072</v>
      </c>
      <c r="F8" s="54">
        <f>SUM(B8,D8)</f>
        <v>611</v>
      </c>
    </row>
    <row r="9" spans="1:6" x14ac:dyDescent="0.25">
      <c r="A9" s="449"/>
      <c r="B9" s="450"/>
      <c r="C9" s="451"/>
      <c r="D9" s="450"/>
      <c r="E9" s="452"/>
      <c r="F9" s="453"/>
    </row>
    <row r="10" spans="1:6" x14ac:dyDescent="0.25">
      <c r="A10" s="50">
        <v>2009</v>
      </c>
      <c r="B10" s="113">
        <v>205</v>
      </c>
      <c r="C10" s="52">
        <f>B10/F10</f>
        <v>0.3504273504273504</v>
      </c>
      <c r="D10" s="113">
        <v>380</v>
      </c>
      <c r="E10" s="53">
        <f>D10/F10</f>
        <v>0.6495726495726496</v>
      </c>
      <c r="F10" s="54">
        <f>SUM(B10,D10)</f>
        <v>585</v>
      </c>
    </row>
    <row r="11" spans="1:6" x14ac:dyDescent="0.25">
      <c r="A11" s="458"/>
      <c r="B11" s="459"/>
      <c r="C11" s="460"/>
      <c r="D11" s="459"/>
      <c r="E11" s="461"/>
      <c r="F11" s="462"/>
    </row>
    <row r="12" spans="1:6" x14ac:dyDescent="0.25">
      <c r="A12" s="50">
        <v>2010</v>
      </c>
      <c r="B12" s="113">
        <v>209</v>
      </c>
      <c r="C12" s="52">
        <f>B12/F12</f>
        <v>0.3387358184764992</v>
      </c>
      <c r="D12" s="113">
        <v>408</v>
      </c>
      <c r="E12" s="53">
        <f>D12/F12</f>
        <v>0.66126418152350086</v>
      </c>
      <c r="F12" s="54">
        <f>SUM(B12,D12)</f>
        <v>617</v>
      </c>
    </row>
    <row r="13" spans="1:6" x14ac:dyDescent="0.25">
      <c r="A13" s="458"/>
      <c r="B13" s="459"/>
      <c r="C13" s="460"/>
      <c r="D13" s="459"/>
      <c r="E13" s="461"/>
      <c r="F13" s="462"/>
    </row>
    <row r="14" spans="1:6" ht="13.8" thickBot="1" x14ac:dyDescent="0.3">
      <c r="A14" s="56">
        <v>2011</v>
      </c>
      <c r="B14" s="124">
        <v>227</v>
      </c>
      <c r="C14" s="58">
        <f>B14/F14</f>
        <v>0.35524256651017216</v>
      </c>
      <c r="D14" s="124">
        <v>412</v>
      </c>
      <c r="E14" s="59">
        <f>D14/F14</f>
        <v>0.64475743348982784</v>
      </c>
      <c r="F14" s="60">
        <f>SUM(B14,D14)</f>
        <v>639</v>
      </c>
    </row>
    <row r="15" spans="1:6" x14ac:dyDescent="0.25">
      <c r="A15" s="458"/>
      <c r="B15" s="459"/>
      <c r="C15" s="460"/>
      <c r="D15" s="459"/>
      <c r="E15" s="461"/>
      <c r="F15" s="462"/>
    </row>
    <row r="16" spans="1:6" ht="13.8" thickBot="1" x14ac:dyDescent="0.3">
      <c r="A16" s="56">
        <v>2012</v>
      </c>
      <c r="B16" s="124">
        <v>203</v>
      </c>
      <c r="C16" s="58">
        <f>B16/F16</f>
        <v>0.33946488294314381</v>
      </c>
      <c r="D16" s="124">
        <v>395</v>
      </c>
      <c r="E16" s="59">
        <f>D16/F16</f>
        <v>0.66053511705685619</v>
      </c>
      <c r="F16" s="60">
        <f>SUM(B16,D16)</f>
        <v>598</v>
      </c>
    </row>
    <row r="17" spans="1:6" ht="12" customHeight="1" x14ac:dyDescent="0.25">
      <c r="A17" s="47" t="s">
        <v>772</v>
      </c>
      <c r="B17" s="1705" t="s">
        <v>773</v>
      </c>
      <c r="C17" s="1706"/>
      <c r="D17" s="1707" t="s">
        <v>775</v>
      </c>
      <c r="E17" s="1708"/>
      <c r="F17" s="55"/>
    </row>
    <row r="18" spans="1:6" x14ac:dyDescent="0.25">
      <c r="A18" s="114" t="s">
        <v>781</v>
      </c>
      <c r="B18" s="115" t="s">
        <v>778</v>
      </c>
      <c r="C18" s="116" t="s">
        <v>779</v>
      </c>
      <c r="D18" s="115" t="s">
        <v>778</v>
      </c>
      <c r="E18" s="117" t="s">
        <v>779</v>
      </c>
      <c r="F18" s="118" t="s">
        <v>780</v>
      </c>
    </row>
    <row r="19" spans="1:6" hidden="1" x14ac:dyDescent="0.25">
      <c r="A19" s="449"/>
      <c r="B19" s="450"/>
      <c r="C19" s="451"/>
      <c r="D19" s="450"/>
      <c r="E19" s="452"/>
      <c r="F19" s="453"/>
    </row>
    <row r="20" spans="1:6" hidden="1" x14ac:dyDescent="0.25">
      <c r="A20" s="50">
        <v>2001</v>
      </c>
      <c r="B20" s="113">
        <v>130</v>
      </c>
      <c r="C20" s="52">
        <f>B20/F20</f>
        <v>0.39755351681957185</v>
      </c>
      <c r="D20" s="113">
        <v>197</v>
      </c>
      <c r="E20" s="53">
        <f>D20/F20</f>
        <v>0.60244648318042815</v>
      </c>
      <c r="F20" s="54">
        <f>SUM(B20,D20)</f>
        <v>327</v>
      </c>
    </row>
    <row r="21" spans="1:6" ht="12" customHeight="1" x14ac:dyDescent="0.25">
      <c r="A21" s="449"/>
      <c r="B21" s="450"/>
      <c r="C21" s="451"/>
      <c r="D21" s="450"/>
      <c r="E21" s="452"/>
      <c r="F21" s="453"/>
    </row>
    <row r="22" spans="1:6" ht="12" customHeight="1" x14ac:dyDescent="0.25">
      <c r="A22" s="50">
        <v>2008</v>
      </c>
      <c r="B22" s="113">
        <v>115</v>
      </c>
      <c r="C22" s="52">
        <f>B22/F22</f>
        <v>0.38590604026845637</v>
      </c>
      <c r="D22" s="113">
        <v>183</v>
      </c>
      <c r="E22" s="53">
        <f>D22/F22</f>
        <v>0.61409395973154357</v>
      </c>
      <c r="F22" s="54">
        <f>SUM(B22,D22)</f>
        <v>298</v>
      </c>
    </row>
    <row r="23" spans="1:6" ht="12" customHeight="1" x14ac:dyDescent="0.25">
      <c r="A23" s="449"/>
      <c r="B23" s="450"/>
      <c r="C23" s="451"/>
      <c r="D23" s="450"/>
      <c r="E23" s="452"/>
      <c r="F23" s="453"/>
    </row>
    <row r="24" spans="1:6" ht="12" customHeight="1" x14ac:dyDescent="0.25">
      <c r="A24" s="50">
        <v>2009</v>
      </c>
      <c r="B24" s="113">
        <v>136</v>
      </c>
      <c r="C24" s="52">
        <f>B24/F24</f>
        <v>0.39650145772594753</v>
      </c>
      <c r="D24" s="113">
        <v>207</v>
      </c>
      <c r="E24" s="53">
        <f>D24/F24</f>
        <v>0.60349854227405253</v>
      </c>
      <c r="F24" s="54">
        <f>SUM(B24,D24)</f>
        <v>343</v>
      </c>
    </row>
    <row r="25" spans="1:6" ht="12" customHeight="1" x14ac:dyDescent="0.25">
      <c r="A25" s="458"/>
      <c r="B25" s="459"/>
      <c r="C25" s="460"/>
      <c r="D25" s="459"/>
      <c r="E25" s="461"/>
      <c r="F25" s="462"/>
    </row>
    <row r="26" spans="1:6" ht="12" customHeight="1" x14ac:dyDescent="0.25">
      <c r="A26" s="50">
        <v>2010</v>
      </c>
      <c r="B26" s="113">
        <v>109</v>
      </c>
      <c r="C26" s="52">
        <f>B26/F26</f>
        <v>0.32634730538922158</v>
      </c>
      <c r="D26" s="113">
        <v>225</v>
      </c>
      <c r="E26" s="53">
        <f>D26/F26</f>
        <v>0.67365269461077848</v>
      </c>
      <c r="F26" s="54">
        <f>SUM(B26,D26)</f>
        <v>334</v>
      </c>
    </row>
    <row r="27" spans="1:6" ht="12" customHeight="1" x14ac:dyDescent="0.25">
      <c r="A27" s="458"/>
      <c r="B27" s="459"/>
      <c r="C27" s="460"/>
      <c r="D27" s="459"/>
      <c r="E27" s="461"/>
      <c r="F27" s="462"/>
    </row>
    <row r="28" spans="1:6" ht="12" customHeight="1" thickBot="1" x14ac:dyDescent="0.3">
      <c r="A28" s="56">
        <v>2011</v>
      </c>
      <c r="B28" s="124">
        <v>103</v>
      </c>
      <c r="C28" s="58">
        <f>B28/F28</f>
        <v>0.34448160535117056</v>
      </c>
      <c r="D28" s="124">
        <v>196</v>
      </c>
      <c r="E28" s="59">
        <f>D28/F28</f>
        <v>0.65551839464882944</v>
      </c>
      <c r="F28" s="60">
        <f>SUM(B28,D28)</f>
        <v>299</v>
      </c>
    </row>
    <row r="29" spans="1:6" ht="12" customHeight="1" x14ac:dyDescent="0.25">
      <c r="A29" s="458"/>
      <c r="B29" s="459"/>
      <c r="C29" s="460"/>
      <c r="D29" s="459"/>
      <c r="E29" s="461"/>
      <c r="F29" s="462"/>
    </row>
    <row r="30" spans="1:6" ht="12" customHeight="1" thickBot="1" x14ac:dyDescent="0.3">
      <c r="A30" s="56">
        <v>2012</v>
      </c>
      <c r="B30" s="124">
        <v>118</v>
      </c>
      <c r="C30" s="58">
        <f>B30/F30</f>
        <v>0.37942122186495175</v>
      </c>
      <c r="D30" s="124">
        <v>193</v>
      </c>
      <c r="E30" s="59">
        <f>D30/F30</f>
        <v>0.62057877813504825</v>
      </c>
      <c r="F30" s="60">
        <f>SUM(B30,D30)</f>
        <v>311</v>
      </c>
    </row>
    <row r="31" spans="1:6" x14ac:dyDescent="0.25">
      <c r="A31" s="47" t="s">
        <v>772</v>
      </c>
      <c r="B31" s="1705" t="s">
        <v>773</v>
      </c>
      <c r="C31" s="1706"/>
      <c r="D31" s="1707" t="s">
        <v>775</v>
      </c>
      <c r="E31" s="1708"/>
      <c r="F31" s="55"/>
    </row>
    <row r="32" spans="1:6" ht="12" customHeight="1" x14ac:dyDescent="0.25">
      <c r="A32" s="119" t="s">
        <v>782</v>
      </c>
      <c r="B32" s="115" t="s">
        <v>778</v>
      </c>
      <c r="C32" s="120" t="s">
        <v>779</v>
      </c>
      <c r="D32" s="115" t="s">
        <v>778</v>
      </c>
      <c r="E32" s="121" t="s">
        <v>779</v>
      </c>
      <c r="F32" s="118" t="s">
        <v>780</v>
      </c>
    </row>
    <row r="33" spans="1:7" hidden="1" x14ac:dyDescent="0.25">
      <c r="A33" s="449"/>
      <c r="B33" s="450"/>
      <c r="C33" s="451"/>
      <c r="D33" s="450"/>
      <c r="E33" s="452"/>
      <c r="F33" s="453"/>
    </row>
    <row r="34" spans="1:7" hidden="1" x14ac:dyDescent="0.25">
      <c r="A34" s="40">
        <v>2001</v>
      </c>
      <c r="B34" s="122">
        <v>93</v>
      </c>
      <c r="C34" s="42">
        <f>B34/F34</f>
        <v>0.45145631067961167</v>
      </c>
      <c r="D34" s="122">
        <v>113</v>
      </c>
      <c r="E34" s="43">
        <f>D34/F34</f>
        <v>0.54854368932038833</v>
      </c>
      <c r="F34" s="123">
        <f>SUM(B34,D34)</f>
        <v>206</v>
      </c>
    </row>
    <row r="35" spans="1:7" x14ac:dyDescent="0.25">
      <c r="A35" s="449"/>
      <c r="B35" s="450"/>
      <c r="C35" s="451"/>
      <c r="D35" s="450"/>
      <c r="E35" s="452"/>
      <c r="F35" s="453"/>
    </row>
    <row r="36" spans="1:7" x14ac:dyDescent="0.25">
      <c r="A36" s="40">
        <v>2008</v>
      </c>
      <c r="B36" s="122">
        <v>88</v>
      </c>
      <c r="C36" s="42">
        <f>B36/F36</f>
        <v>0.40930232558139534</v>
      </c>
      <c r="D36" s="122">
        <v>127</v>
      </c>
      <c r="E36" s="43">
        <f>D36/F36</f>
        <v>0.59069767441860466</v>
      </c>
      <c r="F36" s="44">
        <f>SUM(B36,D36)</f>
        <v>215</v>
      </c>
    </row>
    <row r="37" spans="1:7" x14ac:dyDescent="0.25">
      <c r="A37" s="458"/>
      <c r="B37" s="459"/>
      <c r="C37" s="460"/>
      <c r="D37" s="459"/>
      <c r="E37" s="461"/>
      <c r="F37" s="462"/>
    </row>
    <row r="38" spans="1:7" x14ac:dyDescent="0.25">
      <c r="A38" s="1330">
        <v>2009</v>
      </c>
      <c r="B38" s="1331">
        <v>106</v>
      </c>
      <c r="C38" s="1332">
        <f>B38/F38</f>
        <v>0.42741935483870969</v>
      </c>
      <c r="D38" s="1331">
        <v>142</v>
      </c>
      <c r="E38" s="1333">
        <f>D38/F38</f>
        <v>0.57258064516129037</v>
      </c>
      <c r="F38" s="1334">
        <f>SUM(B38,D38)</f>
        <v>248</v>
      </c>
    </row>
    <row r="39" spans="1:7" x14ac:dyDescent="0.25">
      <c r="A39" s="458"/>
      <c r="B39" s="459"/>
      <c r="C39" s="460"/>
      <c r="D39" s="459"/>
      <c r="E39" s="461"/>
      <c r="F39" s="462"/>
    </row>
    <row r="40" spans="1:7" x14ac:dyDescent="0.25">
      <c r="A40" s="40">
        <v>2010</v>
      </c>
      <c r="B40" s="122">
        <v>78</v>
      </c>
      <c r="C40" s="42">
        <f>B40/F40</f>
        <v>0.3611111111111111</v>
      </c>
      <c r="D40" s="122">
        <v>138</v>
      </c>
      <c r="E40" s="43">
        <f>D40/F40</f>
        <v>0.63888888888888884</v>
      </c>
      <c r="F40" s="44">
        <f>SUM(B40,D40)</f>
        <v>216</v>
      </c>
      <c r="G40" s="1335"/>
    </row>
    <row r="41" spans="1:7" x14ac:dyDescent="0.25">
      <c r="A41" s="458"/>
      <c r="B41" s="459"/>
      <c r="C41" s="460"/>
      <c r="D41" s="459"/>
      <c r="E41" s="461"/>
      <c r="F41" s="462"/>
    </row>
    <row r="42" spans="1:7" ht="13.8" thickBot="1" x14ac:dyDescent="0.3">
      <c r="A42" s="56">
        <v>2011</v>
      </c>
      <c r="B42" s="124">
        <v>75</v>
      </c>
      <c r="C42" s="58">
        <f>B42/F42</f>
        <v>0.37313432835820898</v>
      </c>
      <c r="D42" s="124">
        <v>126</v>
      </c>
      <c r="E42" s="59">
        <f>D42/F42</f>
        <v>0.62686567164179108</v>
      </c>
      <c r="F42" s="60">
        <f>SUM(B42,D42)</f>
        <v>201</v>
      </c>
    </row>
    <row r="43" spans="1:7" x14ac:dyDescent="0.25">
      <c r="A43" s="458"/>
      <c r="B43" s="459"/>
      <c r="C43" s="460"/>
      <c r="D43" s="459"/>
      <c r="E43" s="461"/>
      <c r="F43" s="462"/>
    </row>
    <row r="44" spans="1:7" ht="13.8" thickBot="1" x14ac:dyDescent="0.3">
      <c r="A44" s="56">
        <v>2012</v>
      </c>
      <c r="B44" s="124">
        <v>83</v>
      </c>
      <c r="C44" s="58">
        <f>B44/F44</f>
        <v>0.40886699507389163</v>
      </c>
      <c r="D44" s="124">
        <v>120</v>
      </c>
      <c r="E44" s="59">
        <f>D44/F44</f>
        <v>0.59113300492610843</v>
      </c>
      <c r="F44" s="60">
        <f>SUM(B44,D44)</f>
        <v>203</v>
      </c>
    </row>
  </sheetData>
  <mergeCells count="5">
    <mergeCell ref="B17:C17"/>
    <mergeCell ref="D17:E17"/>
    <mergeCell ref="B31:C31"/>
    <mergeCell ref="D31:E31"/>
    <mergeCell ref="A1:F1"/>
  </mergeCells>
  <phoneticPr fontId="15" type="noConversion"/>
  <printOptions horizontalCentered="1" verticalCentered="1"/>
  <pageMargins left="0.75" right="0.75" top="0" bottom="0.05" header="0.25" footer="0.25"/>
  <pageSetup scale="84" orientation="portrait" r:id="rId1"/>
  <headerFooter alignWithMargins="0">
    <oddFooter>&amp;LSource: Office of Admissions</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0">
    <pageSetUpPr fitToPage="1"/>
  </sheetPr>
  <dimension ref="A1:Q27"/>
  <sheetViews>
    <sheetView workbookViewId="0"/>
  </sheetViews>
  <sheetFormatPr defaultColWidth="6.6640625" defaultRowHeight="13.2" x14ac:dyDescent="0.25"/>
  <cols>
    <col min="1" max="1" width="1.33203125" style="61" customWidth="1"/>
    <col min="2" max="2" width="25.44140625" style="61" customWidth="1"/>
    <col min="3" max="3" width="10.6640625" style="61" customWidth="1"/>
    <col min="4" max="4" width="10.6640625" style="62" customWidth="1"/>
    <col min="5" max="5" width="10.6640625" style="61" customWidth="1"/>
    <col min="6" max="6" width="10.6640625" style="62" customWidth="1"/>
    <col min="7" max="7" width="10.6640625" style="61" customWidth="1"/>
    <col min="8" max="8" width="10.6640625" style="62" customWidth="1"/>
    <col min="9" max="9" width="10.6640625" style="61" customWidth="1"/>
    <col min="10" max="10" width="10.6640625" style="62" customWidth="1"/>
    <col min="11" max="11" width="10.6640625" style="61" customWidth="1"/>
    <col min="12" max="12" width="10.6640625" style="62" customWidth="1"/>
    <col min="13" max="13" width="10.6640625" style="61" customWidth="1"/>
    <col min="14" max="14" width="10.6640625" style="62" customWidth="1"/>
    <col min="15" max="16" width="10.6640625" style="61" customWidth="1"/>
    <col min="17" max="16384" width="6.6640625" style="61"/>
  </cols>
  <sheetData>
    <row r="1" spans="1:17" s="63" customFormat="1" ht="17.399999999999999" x14ac:dyDescent="0.3">
      <c r="B1" s="1700" t="s">
        <v>847</v>
      </c>
      <c r="C1" s="1700"/>
      <c r="D1" s="1700"/>
      <c r="E1" s="1700"/>
      <c r="F1" s="1700"/>
      <c r="G1" s="1700"/>
      <c r="H1" s="1700"/>
      <c r="I1" s="1700"/>
      <c r="J1" s="1700"/>
      <c r="K1" s="1700"/>
      <c r="L1" s="1700"/>
      <c r="M1" s="1700"/>
      <c r="N1" s="1700"/>
      <c r="O1" s="1700"/>
      <c r="P1" s="1700"/>
      <c r="Q1" s="1700"/>
    </row>
    <row r="2" spans="1:17" s="63" customFormat="1" ht="12.75" customHeight="1" thickBot="1" x14ac:dyDescent="0.35">
      <c r="A2" s="64"/>
      <c r="B2" s="64"/>
      <c r="C2" s="64"/>
      <c r="D2" s="65"/>
      <c r="F2" s="65"/>
      <c r="H2" s="65"/>
      <c r="J2" s="65"/>
      <c r="L2" s="65"/>
      <c r="N2" s="65"/>
    </row>
    <row r="3" spans="1:17" ht="20.399999999999999" x14ac:dyDescent="0.25">
      <c r="B3" s="125" t="s">
        <v>787</v>
      </c>
      <c r="C3" s="126" t="s">
        <v>788</v>
      </c>
      <c r="D3" s="69"/>
      <c r="E3" s="68" t="s">
        <v>789</v>
      </c>
      <c r="F3" s="69"/>
      <c r="G3" s="68" t="s">
        <v>790</v>
      </c>
      <c r="H3" s="69"/>
      <c r="I3" s="67" t="s">
        <v>791</v>
      </c>
      <c r="J3" s="66"/>
      <c r="K3" s="67" t="s">
        <v>792</v>
      </c>
      <c r="L3" s="66"/>
      <c r="M3" s="68" t="s">
        <v>793</v>
      </c>
      <c r="N3" s="1337"/>
      <c r="O3" s="1338" t="s">
        <v>508</v>
      </c>
      <c r="P3" s="1342"/>
      <c r="Q3" s="70" t="s">
        <v>776</v>
      </c>
    </row>
    <row r="4" spans="1:17" x14ac:dyDescent="0.25">
      <c r="B4" s="127" t="s">
        <v>794</v>
      </c>
      <c r="C4" s="128" t="s">
        <v>795</v>
      </c>
      <c r="D4" s="71" t="s">
        <v>796</v>
      </c>
      <c r="E4" s="72" t="s">
        <v>795</v>
      </c>
      <c r="F4" s="71" t="s">
        <v>796</v>
      </c>
      <c r="G4" s="72" t="s">
        <v>795</v>
      </c>
      <c r="H4" s="71" t="s">
        <v>796</v>
      </c>
      <c r="I4" s="72" t="s">
        <v>795</v>
      </c>
      <c r="J4" s="71" t="s">
        <v>796</v>
      </c>
      <c r="K4" s="72" t="s">
        <v>795</v>
      </c>
      <c r="L4" s="71" t="s">
        <v>796</v>
      </c>
      <c r="M4" s="72" t="s">
        <v>795</v>
      </c>
      <c r="N4" s="71" t="s">
        <v>796</v>
      </c>
      <c r="O4" s="71" t="s">
        <v>795</v>
      </c>
      <c r="P4" s="758" t="s">
        <v>796</v>
      </c>
      <c r="Q4" s="73" t="s">
        <v>780</v>
      </c>
    </row>
    <row r="5" spans="1:17" ht="14.25" customHeight="1" x14ac:dyDescent="0.25">
      <c r="B5" s="463" t="s">
        <v>765</v>
      </c>
      <c r="C5" s="464"/>
      <c r="D5" s="454"/>
      <c r="E5" s="455"/>
      <c r="F5" s="454"/>
      <c r="G5" s="455"/>
      <c r="H5" s="454"/>
      <c r="I5" s="455"/>
      <c r="J5" s="454"/>
      <c r="K5" s="455"/>
      <c r="L5" s="454"/>
      <c r="M5" s="455"/>
      <c r="N5" s="454"/>
      <c r="O5" s="653"/>
      <c r="P5" s="465"/>
      <c r="Q5" s="466"/>
    </row>
    <row r="6" spans="1:17" ht="14.25" hidden="1" customHeight="1" x14ac:dyDescent="0.25">
      <c r="B6" s="129">
        <v>2001</v>
      </c>
      <c r="C6" s="130">
        <v>112</v>
      </c>
      <c r="D6" s="74">
        <f t="shared" ref="D6:D11" si="0">C6/$Q6</f>
        <v>0.2635294117647059</v>
      </c>
      <c r="E6" s="75">
        <v>285</v>
      </c>
      <c r="F6" s="74">
        <f t="shared" ref="F6:F11" si="1">E6/$Q6</f>
        <v>0.6705882352941176</v>
      </c>
      <c r="G6" s="75">
        <v>7</v>
      </c>
      <c r="H6" s="74">
        <f t="shared" ref="H6:H11" si="2">G6/$Q6</f>
        <v>1.6470588235294119E-2</v>
      </c>
      <c r="I6" s="75">
        <v>2</v>
      </c>
      <c r="J6" s="74">
        <f t="shared" ref="J6:J11" si="3">I6/$Q6</f>
        <v>4.7058823529411761E-3</v>
      </c>
      <c r="K6" s="75">
        <v>0</v>
      </c>
      <c r="L6" s="74">
        <f t="shared" ref="L6:L11" si="4">K6/$Q6</f>
        <v>0</v>
      </c>
      <c r="M6" s="75">
        <v>19</v>
      </c>
      <c r="N6" s="74">
        <f t="shared" ref="N6:N11" si="5">M6/$Q6</f>
        <v>4.4705882352941179E-2</v>
      </c>
      <c r="O6" s="1339">
        <v>0</v>
      </c>
      <c r="P6" s="131">
        <f t="shared" ref="P6:P11" si="6">O6/$Q6</f>
        <v>0</v>
      </c>
      <c r="Q6" s="132">
        <f>SUM(C6,E6,G6,I6,K6,M6)</f>
        <v>425</v>
      </c>
    </row>
    <row r="7" spans="1:17" ht="14.25" customHeight="1" x14ac:dyDescent="0.25">
      <c r="B7" s="129">
        <v>2008</v>
      </c>
      <c r="C7" s="130">
        <v>209</v>
      </c>
      <c r="D7" s="74">
        <f t="shared" ref="D7:D10" si="7">C7/$Q7</f>
        <v>0.34206219312602293</v>
      </c>
      <c r="E7" s="75">
        <v>316</v>
      </c>
      <c r="F7" s="74">
        <f t="shared" ref="F7:F10" si="8">E7/$Q7</f>
        <v>0.51718494271685767</v>
      </c>
      <c r="G7" s="75">
        <v>8</v>
      </c>
      <c r="H7" s="74">
        <f t="shared" ref="H7:H10" si="9">G7/$Q7</f>
        <v>1.3093289689034371E-2</v>
      </c>
      <c r="I7" s="75">
        <v>5</v>
      </c>
      <c r="J7" s="74">
        <f t="shared" ref="J7:J10" si="10">I7/$Q7</f>
        <v>8.1833060556464818E-3</v>
      </c>
      <c r="K7" s="75">
        <v>7</v>
      </c>
      <c r="L7" s="74">
        <f t="shared" ref="L7:L10" si="11">K7/$Q7</f>
        <v>1.1456628477905073E-2</v>
      </c>
      <c r="M7" s="75">
        <v>17</v>
      </c>
      <c r="N7" s="74">
        <f t="shared" ref="N7:N10" si="12">M7/$Q7</f>
        <v>2.7823240589198037E-2</v>
      </c>
      <c r="O7" s="1339">
        <v>49</v>
      </c>
      <c r="P7" s="131">
        <f t="shared" ref="P7:P10" si="13">O7/$Q7</f>
        <v>8.0196399345335512E-2</v>
      </c>
      <c r="Q7" s="759">
        <f>SUM(C7,E7,G7,I7,K7,M7,O7)</f>
        <v>611</v>
      </c>
    </row>
    <row r="8" spans="1:17" ht="14.25" customHeight="1" x14ac:dyDescent="0.25">
      <c r="B8" s="129">
        <f>+B7+1</f>
        <v>2009</v>
      </c>
      <c r="C8" s="130">
        <v>212</v>
      </c>
      <c r="D8" s="74">
        <f t="shared" si="7"/>
        <v>0.36239316239316238</v>
      </c>
      <c r="E8" s="75">
        <v>296</v>
      </c>
      <c r="F8" s="74">
        <f t="shared" si="8"/>
        <v>0.50598290598290596</v>
      </c>
      <c r="G8" s="75">
        <v>3</v>
      </c>
      <c r="H8" s="74">
        <f t="shared" si="9"/>
        <v>5.1282051282051282E-3</v>
      </c>
      <c r="I8" s="75">
        <v>7</v>
      </c>
      <c r="J8" s="74">
        <f t="shared" si="10"/>
        <v>1.1965811965811967E-2</v>
      </c>
      <c r="K8" s="75">
        <v>3</v>
      </c>
      <c r="L8" s="74">
        <f t="shared" si="11"/>
        <v>5.1282051282051282E-3</v>
      </c>
      <c r="M8" s="75">
        <v>10</v>
      </c>
      <c r="N8" s="74">
        <f t="shared" si="12"/>
        <v>1.7094017094017096E-2</v>
      </c>
      <c r="O8" s="1339">
        <v>54</v>
      </c>
      <c r="P8" s="131">
        <f t="shared" si="13"/>
        <v>9.2307692307692313E-2</v>
      </c>
      <c r="Q8" s="759">
        <f>SUM(C8,E8,G8,I8,K8,M8,O8)</f>
        <v>585</v>
      </c>
    </row>
    <row r="9" spans="1:17" ht="14.25" customHeight="1" x14ac:dyDescent="0.25">
      <c r="B9" s="129">
        <f>+B8+1</f>
        <v>2010</v>
      </c>
      <c r="C9" s="130">
        <v>197</v>
      </c>
      <c r="D9" s="74">
        <f t="shared" si="7"/>
        <v>0.31928687196110211</v>
      </c>
      <c r="E9" s="75">
        <v>341</v>
      </c>
      <c r="F9" s="74">
        <f t="shared" si="8"/>
        <v>0.55267423014586714</v>
      </c>
      <c r="G9" s="75">
        <v>10</v>
      </c>
      <c r="H9" s="74">
        <f t="shared" si="9"/>
        <v>1.6207455429497569E-2</v>
      </c>
      <c r="I9" s="75">
        <v>9</v>
      </c>
      <c r="J9" s="74">
        <f t="shared" si="10"/>
        <v>1.4586709886547812E-2</v>
      </c>
      <c r="K9" s="75">
        <v>5</v>
      </c>
      <c r="L9" s="74">
        <f t="shared" si="11"/>
        <v>8.1037277147487843E-3</v>
      </c>
      <c r="M9" s="75">
        <v>11</v>
      </c>
      <c r="N9" s="74">
        <f t="shared" si="12"/>
        <v>1.7828200972447326E-2</v>
      </c>
      <c r="O9" s="1339">
        <v>44</v>
      </c>
      <c r="P9" s="131">
        <f t="shared" si="13"/>
        <v>7.1312803889789306E-2</v>
      </c>
      <c r="Q9" s="759">
        <f>SUM(C9,E9,G9,I9,K9,M9,O9)</f>
        <v>617</v>
      </c>
    </row>
    <row r="10" spans="1:17" ht="14.25" customHeight="1" x14ac:dyDescent="0.25">
      <c r="B10" s="129">
        <f>+B9+1</f>
        <v>2011</v>
      </c>
      <c r="C10" s="130">
        <v>231</v>
      </c>
      <c r="D10" s="74">
        <f t="shared" si="7"/>
        <v>0.36150234741784038</v>
      </c>
      <c r="E10" s="75">
        <v>310</v>
      </c>
      <c r="F10" s="74">
        <f t="shared" si="8"/>
        <v>0.48513302034428796</v>
      </c>
      <c r="G10" s="75">
        <v>11</v>
      </c>
      <c r="H10" s="74">
        <f t="shared" si="9"/>
        <v>1.7214397496087636E-2</v>
      </c>
      <c r="I10" s="75">
        <v>1</v>
      </c>
      <c r="J10" s="74">
        <f t="shared" si="10"/>
        <v>1.5649452269170579E-3</v>
      </c>
      <c r="K10" s="75">
        <v>3</v>
      </c>
      <c r="L10" s="74">
        <f t="shared" si="11"/>
        <v>4.6948356807511738E-3</v>
      </c>
      <c r="M10" s="75">
        <v>30</v>
      </c>
      <c r="N10" s="74">
        <f t="shared" si="12"/>
        <v>4.6948356807511735E-2</v>
      </c>
      <c r="O10" s="1339">
        <v>53</v>
      </c>
      <c r="P10" s="131">
        <f t="shared" si="13"/>
        <v>8.2942097026604072E-2</v>
      </c>
      <c r="Q10" s="759">
        <f>SUM(C10,E10,G10,I10,K10,M10,O10)</f>
        <v>639</v>
      </c>
    </row>
    <row r="11" spans="1:17" ht="14.25" customHeight="1" x14ac:dyDescent="0.25">
      <c r="B11" s="129">
        <f>+B10+1</f>
        <v>2012</v>
      </c>
      <c r="C11" s="130">
        <v>134</v>
      </c>
      <c r="D11" s="74">
        <f t="shared" si="0"/>
        <v>0.22408026755852842</v>
      </c>
      <c r="E11" s="75">
        <v>165</v>
      </c>
      <c r="F11" s="74">
        <f t="shared" si="1"/>
        <v>0.27591973244147155</v>
      </c>
      <c r="G11" s="75">
        <v>4</v>
      </c>
      <c r="H11" s="74">
        <f t="shared" si="2"/>
        <v>6.688963210702341E-3</v>
      </c>
      <c r="I11" s="75">
        <v>4</v>
      </c>
      <c r="J11" s="74">
        <f t="shared" si="3"/>
        <v>6.688963210702341E-3</v>
      </c>
      <c r="K11" s="75">
        <v>1</v>
      </c>
      <c r="L11" s="74">
        <f t="shared" si="4"/>
        <v>1.6722408026755853E-3</v>
      </c>
      <c r="M11" s="75">
        <v>27</v>
      </c>
      <c r="N11" s="74">
        <f t="shared" si="5"/>
        <v>4.51505016722408E-2</v>
      </c>
      <c r="O11" s="1339">
        <v>263</v>
      </c>
      <c r="P11" s="131">
        <f t="shared" si="6"/>
        <v>0.43979933110367891</v>
      </c>
      <c r="Q11" s="759">
        <f>SUM(C11,E11,G11,I11,K11,M11,O11)</f>
        <v>598</v>
      </c>
    </row>
    <row r="12" spans="1:17" ht="14.25" customHeight="1" x14ac:dyDescent="0.25">
      <c r="B12" s="463" t="s">
        <v>766</v>
      </c>
      <c r="C12" s="464"/>
      <c r="D12" s="454"/>
      <c r="E12" s="455"/>
      <c r="F12" s="454"/>
      <c r="G12" s="455"/>
      <c r="H12" s="454"/>
      <c r="I12" s="455"/>
      <c r="J12" s="454"/>
      <c r="K12" s="455"/>
      <c r="L12" s="454"/>
      <c r="M12" s="455"/>
      <c r="N12" s="454"/>
      <c r="O12" s="653"/>
      <c r="P12" s="465"/>
      <c r="Q12" s="466"/>
    </row>
    <row r="13" spans="1:17" hidden="1" x14ac:dyDescent="0.25">
      <c r="B13" s="129">
        <v>2001</v>
      </c>
      <c r="C13" s="130">
        <v>77</v>
      </c>
      <c r="D13" s="74">
        <f t="shared" ref="D13:D18" si="14">C13/$Q13</f>
        <v>0.23547400611620795</v>
      </c>
      <c r="E13" s="75">
        <v>230</v>
      </c>
      <c r="F13" s="74">
        <f t="shared" ref="F13:F18" si="15">E13/$Q13</f>
        <v>0.70336391437308865</v>
      </c>
      <c r="G13" s="75">
        <v>6</v>
      </c>
      <c r="H13" s="74">
        <f t="shared" ref="H13:H18" si="16">G13/$Q13</f>
        <v>1.834862385321101E-2</v>
      </c>
      <c r="I13" s="75">
        <v>2</v>
      </c>
      <c r="J13" s="74">
        <f t="shared" ref="J13:J18" si="17">I13/$Q13</f>
        <v>6.1162079510703364E-3</v>
      </c>
      <c r="K13" s="75">
        <v>0</v>
      </c>
      <c r="L13" s="74">
        <f t="shared" ref="L13:L18" si="18">K13/$Q13</f>
        <v>0</v>
      </c>
      <c r="M13" s="75">
        <v>12</v>
      </c>
      <c r="N13" s="74">
        <f t="shared" ref="N13:N18" si="19">M13/$Q13</f>
        <v>3.669724770642202E-2</v>
      </c>
      <c r="O13" s="1339">
        <v>0</v>
      </c>
      <c r="P13" s="131">
        <f t="shared" ref="P13:P18" si="20">O13/$Q13</f>
        <v>0</v>
      </c>
      <c r="Q13" s="132">
        <f>SUM(C13,E13,G13,I13,K13,M13)</f>
        <v>327</v>
      </c>
    </row>
    <row r="14" spans="1:17" x14ac:dyDescent="0.25">
      <c r="B14" s="129">
        <v>2008</v>
      </c>
      <c r="C14" s="130">
        <v>76</v>
      </c>
      <c r="D14" s="656">
        <f t="shared" ref="D14:D17" si="21">C14/$Q14</f>
        <v>0.25503355704697989</v>
      </c>
      <c r="E14" s="75">
        <v>186</v>
      </c>
      <c r="F14" s="77">
        <f t="shared" ref="F14:F17" si="22">E14/$Q14</f>
        <v>0.62416107382550334</v>
      </c>
      <c r="G14" s="75">
        <v>2</v>
      </c>
      <c r="H14" s="77">
        <f t="shared" ref="H14:H17" si="23">G14/$Q14</f>
        <v>6.7114093959731542E-3</v>
      </c>
      <c r="I14" s="75">
        <v>3</v>
      </c>
      <c r="J14" s="77">
        <f t="shared" ref="J14:J17" si="24">I14/$Q14</f>
        <v>1.0067114093959731E-2</v>
      </c>
      <c r="K14" s="75">
        <v>5</v>
      </c>
      <c r="L14" s="77">
        <f t="shared" ref="L14:L17" si="25">K14/$Q14</f>
        <v>1.6778523489932886E-2</v>
      </c>
      <c r="M14" s="75">
        <v>7</v>
      </c>
      <c r="N14" s="77">
        <f t="shared" ref="N14:N17" si="26">M14/$Q14</f>
        <v>2.3489932885906041E-2</v>
      </c>
      <c r="O14" s="76">
        <v>19</v>
      </c>
      <c r="P14" s="131">
        <f t="shared" ref="P14:P17" si="27">O14/$Q14</f>
        <v>6.3758389261744972E-2</v>
      </c>
      <c r="Q14" s="759">
        <f>SUM(C14,E14,G14,I14,K14,M14,O14)</f>
        <v>298</v>
      </c>
    </row>
    <row r="15" spans="1:17" x14ac:dyDescent="0.25">
      <c r="B15" s="129">
        <f>+B14+1</f>
        <v>2009</v>
      </c>
      <c r="C15" s="130">
        <v>103</v>
      </c>
      <c r="D15" s="74">
        <f t="shared" si="21"/>
        <v>0.30029154518950435</v>
      </c>
      <c r="E15" s="75">
        <v>199</v>
      </c>
      <c r="F15" s="74">
        <f t="shared" si="22"/>
        <v>0.58017492711370267</v>
      </c>
      <c r="G15" s="75">
        <v>2</v>
      </c>
      <c r="H15" s="74">
        <f t="shared" si="23"/>
        <v>5.8309037900874635E-3</v>
      </c>
      <c r="I15" s="75">
        <v>6</v>
      </c>
      <c r="J15" s="74">
        <f t="shared" si="24"/>
        <v>1.7492711370262391E-2</v>
      </c>
      <c r="K15" s="75">
        <v>1</v>
      </c>
      <c r="L15" s="74">
        <f t="shared" si="25"/>
        <v>2.9154518950437317E-3</v>
      </c>
      <c r="M15" s="75">
        <v>8</v>
      </c>
      <c r="N15" s="74">
        <f t="shared" si="26"/>
        <v>2.3323615160349854E-2</v>
      </c>
      <c r="O15" s="1339">
        <v>24</v>
      </c>
      <c r="P15" s="131">
        <f t="shared" si="27"/>
        <v>6.9970845481049565E-2</v>
      </c>
      <c r="Q15" s="759">
        <f>SUM(C15,E15,G15,I15,K15,M15,O15)</f>
        <v>343</v>
      </c>
    </row>
    <row r="16" spans="1:17" x14ac:dyDescent="0.25">
      <c r="B16" s="129">
        <f>+B15+1</f>
        <v>2010</v>
      </c>
      <c r="C16" s="130">
        <v>78</v>
      </c>
      <c r="D16" s="74">
        <f t="shared" si="21"/>
        <v>0.23353293413173654</v>
      </c>
      <c r="E16" s="75">
        <v>212</v>
      </c>
      <c r="F16" s="74">
        <f t="shared" si="22"/>
        <v>0.6347305389221557</v>
      </c>
      <c r="G16" s="75">
        <v>7</v>
      </c>
      <c r="H16" s="74">
        <f t="shared" si="23"/>
        <v>2.0958083832335328E-2</v>
      </c>
      <c r="I16" s="75">
        <v>7</v>
      </c>
      <c r="J16" s="74">
        <f t="shared" si="24"/>
        <v>2.0958083832335328E-2</v>
      </c>
      <c r="K16" s="75">
        <v>2</v>
      </c>
      <c r="L16" s="74">
        <f t="shared" si="25"/>
        <v>5.9880239520958087E-3</v>
      </c>
      <c r="M16" s="75">
        <v>7</v>
      </c>
      <c r="N16" s="74">
        <f t="shared" si="26"/>
        <v>2.0958083832335328E-2</v>
      </c>
      <c r="O16" s="1339">
        <v>21</v>
      </c>
      <c r="P16" s="131">
        <f t="shared" si="27"/>
        <v>6.2874251497005984E-2</v>
      </c>
      <c r="Q16" s="759">
        <f>SUM(C16,E16,G16,I16,K16,M16,O16)</f>
        <v>334</v>
      </c>
    </row>
    <row r="17" spans="2:17" ht="14.25" customHeight="1" x14ac:dyDescent="0.25">
      <c r="B17" s="129">
        <f>+B16+1</f>
        <v>2011</v>
      </c>
      <c r="C17" s="130">
        <v>78</v>
      </c>
      <c r="D17" s="74">
        <f t="shared" si="21"/>
        <v>0.2608695652173913</v>
      </c>
      <c r="E17" s="75">
        <v>170</v>
      </c>
      <c r="F17" s="74">
        <f t="shared" si="22"/>
        <v>0.56856187290969895</v>
      </c>
      <c r="G17" s="75">
        <v>4</v>
      </c>
      <c r="H17" s="74">
        <f t="shared" si="23"/>
        <v>1.3377926421404682E-2</v>
      </c>
      <c r="I17" s="75">
        <v>1</v>
      </c>
      <c r="J17" s="74">
        <f t="shared" si="24"/>
        <v>3.3444816053511705E-3</v>
      </c>
      <c r="K17" s="75">
        <v>3</v>
      </c>
      <c r="L17" s="74">
        <f t="shared" si="25"/>
        <v>1.0033444816053512E-2</v>
      </c>
      <c r="M17" s="75">
        <v>13</v>
      </c>
      <c r="N17" s="74">
        <f t="shared" si="26"/>
        <v>4.3478260869565216E-2</v>
      </c>
      <c r="O17" s="1339">
        <v>30</v>
      </c>
      <c r="P17" s="131">
        <f t="shared" si="27"/>
        <v>0.10033444816053512</v>
      </c>
      <c r="Q17" s="759">
        <f>SUM(C17,E17,G17,I17,K17,M17,O17)</f>
        <v>299</v>
      </c>
    </row>
    <row r="18" spans="2:17" ht="14.25" customHeight="1" x14ac:dyDescent="0.25">
      <c r="B18" s="129">
        <f>+B17+1</f>
        <v>2012</v>
      </c>
      <c r="C18" s="130">
        <v>56</v>
      </c>
      <c r="D18" s="74">
        <f t="shared" si="14"/>
        <v>0.18006430868167203</v>
      </c>
      <c r="E18" s="75">
        <v>107</v>
      </c>
      <c r="F18" s="74">
        <f t="shared" si="15"/>
        <v>0.34405144694533762</v>
      </c>
      <c r="G18" s="75">
        <v>3</v>
      </c>
      <c r="H18" s="74">
        <f t="shared" si="16"/>
        <v>9.6463022508038593E-3</v>
      </c>
      <c r="I18" s="75">
        <v>3</v>
      </c>
      <c r="J18" s="74">
        <f t="shared" si="17"/>
        <v>9.6463022508038593E-3</v>
      </c>
      <c r="K18" s="75">
        <v>1</v>
      </c>
      <c r="L18" s="74">
        <f t="shared" si="18"/>
        <v>3.2154340836012861E-3</v>
      </c>
      <c r="M18" s="75">
        <v>19</v>
      </c>
      <c r="N18" s="74">
        <f t="shared" si="19"/>
        <v>6.1093247588424437E-2</v>
      </c>
      <c r="O18" s="1339">
        <v>122</v>
      </c>
      <c r="P18" s="131">
        <f t="shared" si="20"/>
        <v>0.39228295819935693</v>
      </c>
      <c r="Q18" s="759">
        <f>SUM(C18,E18,G18,I18,K18,M18,O18)</f>
        <v>311</v>
      </c>
    </row>
    <row r="19" spans="2:17" x14ac:dyDescent="0.25">
      <c r="B19" s="463" t="s">
        <v>768</v>
      </c>
      <c r="C19" s="464"/>
      <c r="D19" s="454"/>
      <c r="E19" s="455"/>
      <c r="F19" s="454"/>
      <c r="G19" s="455"/>
      <c r="H19" s="454"/>
      <c r="I19" s="455"/>
      <c r="J19" s="454"/>
      <c r="K19" s="455"/>
      <c r="L19" s="454"/>
      <c r="M19" s="455"/>
      <c r="N19" s="454"/>
      <c r="O19" s="653"/>
      <c r="P19" s="465"/>
      <c r="Q19" s="466"/>
    </row>
    <row r="20" spans="2:17" hidden="1" x14ac:dyDescent="0.25">
      <c r="B20" s="339">
        <v>2001</v>
      </c>
      <c r="C20" s="340">
        <v>51</v>
      </c>
      <c r="D20" s="77">
        <f t="shared" ref="D20:D25" si="28">C20/$Q20</f>
        <v>0.24757281553398058</v>
      </c>
      <c r="E20" s="78">
        <v>140</v>
      </c>
      <c r="F20" s="77">
        <f t="shared" ref="F20:F25" si="29">E20/$Q20</f>
        <v>0.67961165048543692</v>
      </c>
      <c r="G20" s="78">
        <v>3</v>
      </c>
      <c r="H20" s="77">
        <f t="shared" ref="H20:H25" si="30">G20/$Q20</f>
        <v>1.4563106796116505E-2</v>
      </c>
      <c r="I20" s="78">
        <v>0</v>
      </c>
      <c r="J20" s="77">
        <f t="shared" ref="J20:J25" si="31">I20/$Q20</f>
        <v>0</v>
      </c>
      <c r="K20" s="78">
        <v>0</v>
      </c>
      <c r="L20" s="77">
        <f t="shared" ref="L20:L25" si="32">K20/$Q20</f>
        <v>0</v>
      </c>
      <c r="M20" s="78">
        <v>12</v>
      </c>
      <c r="N20" s="77">
        <f t="shared" ref="N20:N25" si="33">M20/$Q20</f>
        <v>5.8252427184466021E-2</v>
      </c>
      <c r="O20" s="1340">
        <v>0</v>
      </c>
      <c r="P20" s="131">
        <f t="shared" ref="P20:P25" si="34">O20/$Q20</f>
        <v>0</v>
      </c>
      <c r="Q20" s="79">
        <f>SUM(C20,E20,G20,I20,K20,M20)</f>
        <v>206</v>
      </c>
    </row>
    <row r="21" spans="2:17" x14ac:dyDescent="0.25">
      <c r="B21" s="129">
        <v>2008</v>
      </c>
      <c r="C21" s="130">
        <v>50</v>
      </c>
      <c r="D21" s="813">
        <f t="shared" ref="D21:D24" si="35">C21/$Q21</f>
        <v>0.23255813953488372</v>
      </c>
      <c r="E21" s="812">
        <v>139</v>
      </c>
      <c r="F21" s="813">
        <f t="shared" ref="F21:F24" si="36">E21/$Q21</f>
        <v>0.64651162790697669</v>
      </c>
      <c r="G21" s="812">
        <v>1</v>
      </c>
      <c r="H21" s="813">
        <f t="shared" ref="H21:H24" si="37">G21/$Q21</f>
        <v>4.6511627906976744E-3</v>
      </c>
      <c r="I21" s="812">
        <v>2</v>
      </c>
      <c r="J21" s="813">
        <f t="shared" ref="J21:J24" si="38">I21/$Q21</f>
        <v>9.3023255813953487E-3</v>
      </c>
      <c r="K21" s="812">
        <v>4</v>
      </c>
      <c r="L21" s="813">
        <f t="shared" ref="L21:L24" si="39">K21/$Q21</f>
        <v>1.8604651162790697E-2</v>
      </c>
      <c r="M21" s="812">
        <v>7</v>
      </c>
      <c r="N21" s="813">
        <f t="shared" ref="N21:N24" si="40">M21/$Q21</f>
        <v>3.255813953488372E-2</v>
      </c>
      <c r="O21" s="1339">
        <v>12</v>
      </c>
      <c r="P21" s="1425">
        <f t="shared" ref="P21:P24" si="41">O21/$Q21</f>
        <v>5.5813953488372092E-2</v>
      </c>
      <c r="Q21" s="1427">
        <f>SUM(C21,E21,G21,I21,K21,M21,O21)</f>
        <v>215</v>
      </c>
    </row>
    <row r="22" spans="2:17" x14ac:dyDescent="0.25">
      <c r="B22" s="129">
        <f>+B21+1</f>
        <v>2009</v>
      </c>
      <c r="C22" s="340">
        <v>80</v>
      </c>
      <c r="D22" s="338">
        <f t="shared" si="35"/>
        <v>0.32258064516129031</v>
      </c>
      <c r="E22" s="76">
        <v>151</v>
      </c>
      <c r="F22" s="338">
        <f t="shared" si="36"/>
        <v>0.6088709677419355</v>
      </c>
      <c r="G22" s="76">
        <v>2</v>
      </c>
      <c r="H22" s="338">
        <f t="shared" si="37"/>
        <v>8.0645161290322578E-3</v>
      </c>
      <c r="I22" s="76">
        <v>3</v>
      </c>
      <c r="J22" s="338">
        <f t="shared" si="38"/>
        <v>1.2096774193548387E-2</v>
      </c>
      <c r="K22" s="76">
        <v>0</v>
      </c>
      <c r="L22" s="338">
        <f t="shared" si="39"/>
        <v>0</v>
      </c>
      <c r="M22" s="76">
        <v>6</v>
      </c>
      <c r="N22" s="338">
        <f t="shared" si="40"/>
        <v>2.4193548387096774E-2</v>
      </c>
      <c r="O22" s="1340">
        <v>6</v>
      </c>
      <c r="P22" s="1425">
        <f t="shared" si="41"/>
        <v>2.4193548387096774E-2</v>
      </c>
      <c r="Q22" s="759">
        <f>SUM(C22,E22,G22,I22,K22,M22,O22)</f>
        <v>248</v>
      </c>
    </row>
    <row r="23" spans="2:17" x14ac:dyDescent="0.25">
      <c r="B23" s="129">
        <f>+B22+1</f>
        <v>2010</v>
      </c>
      <c r="C23" s="340">
        <v>44</v>
      </c>
      <c r="D23" s="338">
        <f t="shared" si="35"/>
        <v>0.20370370370370369</v>
      </c>
      <c r="E23" s="76">
        <v>142</v>
      </c>
      <c r="F23" s="338">
        <f t="shared" si="36"/>
        <v>0.65740740740740744</v>
      </c>
      <c r="G23" s="76">
        <v>4</v>
      </c>
      <c r="H23" s="338">
        <f t="shared" si="37"/>
        <v>1.8518518518518517E-2</v>
      </c>
      <c r="I23" s="76">
        <v>2</v>
      </c>
      <c r="J23" s="338">
        <f t="shared" si="38"/>
        <v>9.2592592592592587E-3</v>
      </c>
      <c r="K23" s="76">
        <v>1</v>
      </c>
      <c r="L23" s="338">
        <f t="shared" si="39"/>
        <v>4.6296296296296294E-3</v>
      </c>
      <c r="M23" s="76">
        <v>7</v>
      </c>
      <c r="N23" s="338">
        <f t="shared" si="40"/>
        <v>3.2407407407407406E-2</v>
      </c>
      <c r="O23" s="1340">
        <v>16</v>
      </c>
      <c r="P23" s="1425">
        <f t="shared" si="41"/>
        <v>7.407407407407407E-2</v>
      </c>
      <c r="Q23" s="759">
        <f>SUM(C23,E23,G23,I23,K23,M23,O23)</f>
        <v>216</v>
      </c>
    </row>
    <row r="24" spans="2:17" s="935" customFormat="1" x14ac:dyDescent="0.25">
      <c r="B24" s="129">
        <f>+B23+1</f>
        <v>2011</v>
      </c>
      <c r="C24" s="340">
        <v>48</v>
      </c>
      <c r="D24" s="338">
        <f t="shared" si="35"/>
        <v>0.23880597014925373</v>
      </c>
      <c r="E24" s="76">
        <v>120</v>
      </c>
      <c r="F24" s="338">
        <f t="shared" si="36"/>
        <v>0.59701492537313428</v>
      </c>
      <c r="G24" s="76">
        <v>3</v>
      </c>
      <c r="H24" s="338">
        <f t="shared" si="37"/>
        <v>1.4925373134328358E-2</v>
      </c>
      <c r="I24" s="76">
        <v>1</v>
      </c>
      <c r="J24" s="338">
        <f t="shared" si="38"/>
        <v>4.9751243781094526E-3</v>
      </c>
      <c r="K24" s="76">
        <v>3</v>
      </c>
      <c r="L24" s="338">
        <f t="shared" si="39"/>
        <v>1.4925373134328358E-2</v>
      </c>
      <c r="M24" s="76">
        <v>9</v>
      </c>
      <c r="N24" s="338">
        <f t="shared" si="40"/>
        <v>4.4776119402985072E-2</v>
      </c>
      <c r="O24" s="1340">
        <v>17</v>
      </c>
      <c r="P24" s="1425">
        <f t="shared" si="41"/>
        <v>8.45771144278607E-2</v>
      </c>
      <c r="Q24" s="1427">
        <f>SUM(C24,E24,G24,I24,K24,M24,O24)</f>
        <v>201</v>
      </c>
    </row>
    <row r="25" spans="2:17" ht="13.8" thickBot="1" x14ac:dyDescent="0.3">
      <c r="B25" s="1012">
        <f>+B24+1</f>
        <v>2012</v>
      </c>
      <c r="C25" s="936">
        <v>56</v>
      </c>
      <c r="D25" s="816">
        <f t="shared" si="28"/>
        <v>0.27586206896551724</v>
      </c>
      <c r="E25" s="815">
        <v>111</v>
      </c>
      <c r="F25" s="816">
        <f t="shared" si="29"/>
        <v>0.54679802955665024</v>
      </c>
      <c r="G25" s="815">
        <v>2</v>
      </c>
      <c r="H25" s="816">
        <f t="shared" si="30"/>
        <v>9.852216748768473E-3</v>
      </c>
      <c r="I25" s="815">
        <v>3</v>
      </c>
      <c r="J25" s="816">
        <f t="shared" si="31"/>
        <v>1.4778325123152709E-2</v>
      </c>
      <c r="K25" s="815">
        <v>3</v>
      </c>
      <c r="L25" s="816">
        <f t="shared" si="32"/>
        <v>1.4778325123152709E-2</v>
      </c>
      <c r="M25" s="815">
        <v>17</v>
      </c>
      <c r="N25" s="816">
        <f t="shared" si="33"/>
        <v>8.3743842364532015E-2</v>
      </c>
      <c r="O25" s="1341">
        <v>11</v>
      </c>
      <c r="P25" s="1426">
        <f t="shared" si="34"/>
        <v>5.4187192118226604E-2</v>
      </c>
      <c r="Q25" s="1428">
        <f>SUM(C25,E25,G25,I25,K25,M25,O25)</f>
        <v>203</v>
      </c>
    </row>
    <row r="27" spans="2:17" x14ac:dyDescent="0.25">
      <c r="E27" s="1336"/>
    </row>
  </sheetData>
  <mergeCells count="1">
    <mergeCell ref="B1:Q1"/>
  </mergeCells>
  <phoneticPr fontId="15" type="noConversion"/>
  <printOptions horizontalCentered="1" verticalCentered="1"/>
  <pageMargins left="0.5" right="0.5" top="0.25" bottom="0.25" header="0.5" footer="0.5"/>
  <pageSetup scale="70" orientation="landscape" r:id="rId1"/>
  <headerFooter alignWithMargins="0">
    <oddHeader xml:space="preserve">&amp;C </oddHeader>
    <oddFooter>&amp;L &amp;C &amp;RSource: Office of Admissions</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1">
    <pageSetUpPr fitToPage="1"/>
  </sheetPr>
  <dimension ref="A1:M74"/>
  <sheetViews>
    <sheetView zoomScale="90" zoomScaleNormal="90" workbookViewId="0">
      <selection sqref="A1:M1"/>
    </sheetView>
  </sheetViews>
  <sheetFormatPr defaultColWidth="6.6640625" defaultRowHeight="13.2" x14ac:dyDescent="0.25"/>
  <cols>
    <col min="1" max="1" width="61.5546875" style="1" bestFit="1" customWidth="1"/>
    <col min="2" max="8" width="14.44140625" style="1" hidden="1" customWidth="1"/>
    <col min="9" max="9" width="14.44140625" style="1" customWidth="1"/>
    <col min="10" max="13" width="14.44140625" style="1" bestFit="1" customWidth="1"/>
    <col min="14" max="16" width="14.5546875" style="1" customWidth="1"/>
    <col min="17" max="16384" width="6.6640625" style="1"/>
  </cols>
  <sheetData>
    <row r="1" spans="1:13" s="13" customFormat="1" ht="17.399999999999999" x14ac:dyDescent="0.3">
      <c r="A1" s="1694" t="s">
        <v>848</v>
      </c>
      <c r="B1" s="1694"/>
      <c r="C1" s="1694"/>
      <c r="D1" s="1694"/>
      <c r="E1" s="1694"/>
      <c r="F1" s="1694"/>
      <c r="G1" s="1694"/>
      <c r="H1" s="1694"/>
      <c r="I1" s="1694"/>
      <c r="J1" s="1694"/>
      <c r="K1" s="1694"/>
      <c r="L1" s="1694"/>
      <c r="M1" s="1694"/>
    </row>
    <row r="2" spans="1:13" s="13" customFormat="1" ht="17.399999999999999" x14ac:dyDescent="0.3">
      <c r="A2" s="1694" t="s">
        <v>849</v>
      </c>
      <c r="B2" s="1694"/>
      <c r="C2" s="1694"/>
      <c r="D2" s="1694"/>
      <c r="E2" s="1694"/>
      <c r="F2" s="1694"/>
      <c r="G2" s="1694"/>
      <c r="H2" s="1694"/>
      <c r="I2" s="1694"/>
      <c r="J2" s="1694"/>
      <c r="K2" s="1694"/>
      <c r="L2" s="1694"/>
      <c r="M2" s="1694"/>
    </row>
    <row r="3" spans="1:13" s="13" customFormat="1" ht="17.399999999999999" x14ac:dyDescent="0.3"/>
    <row r="4" spans="1:13" ht="24.9" customHeight="1" x14ac:dyDescent="0.25">
      <c r="A4" s="379" t="s">
        <v>850</v>
      </c>
      <c r="B4" s="380" t="s">
        <v>851</v>
      </c>
      <c r="C4" s="380" t="s">
        <v>852</v>
      </c>
      <c r="D4" s="380" t="s">
        <v>560</v>
      </c>
      <c r="E4" s="380" t="s">
        <v>866</v>
      </c>
      <c r="F4" s="380" t="s">
        <v>620</v>
      </c>
      <c r="G4" s="380" t="s">
        <v>720</v>
      </c>
      <c r="H4" s="380" t="s">
        <v>915</v>
      </c>
      <c r="I4" s="380" t="s">
        <v>1364</v>
      </c>
      <c r="J4" s="380" t="s">
        <v>1385</v>
      </c>
      <c r="K4" s="380" t="s">
        <v>1386</v>
      </c>
      <c r="L4" s="380" t="s">
        <v>1387</v>
      </c>
      <c r="M4" s="380" t="s">
        <v>1535</v>
      </c>
    </row>
    <row r="5" spans="1:13" x14ac:dyDescent="0.25">
      <c r="A5" s="133" t="s">
        <v>855</v>
      </c>
      <c r="B5" s="134">
        <v>8</v>
      </c>
      <c r="C5" s="134">
        <v>4</v>
      </c>
      <c r="D5" s="134">
        <v>1</v>
      </c>
      <c r="E5" s="134">
        <v>1</v>
      </c>
      <c r="F5" s="134">
        <v>2</v>
      </c>
      <c r="G5" s="134">
        <v>1</v>
      </c>
      <c r="H5" s="134">
        <v>0</v>
      </c>
      <c r="I5" s="134">
        <v>1</v>
      </c>
      <c r="J5" s="134">
        <v>3</v>
      </c>
      <c r="K5" s="134">
        <v>1</v>
      </c>
      <c r="L5" s="134">
        <v>0</v>
      </c>
      <c r="M5" s="134">
        <v>0</v>
      </c>
    </row>
    <row r="6" spans="1:13" x14ac:dyDescent="0.25">
      <c r="A6" s="133" t="s">
        <v>856</v>
      </c>
      <c r="B6" s="134">
        <v>0</v>
      </c>
      <c r="C6" s="134">
        <v>0</v>
      </c>
      <c r="D6" s="134">
        <v>2</v>
      </c>
      <c r="E6" s="134">
        <v>1</v>
      </c>
      <c r="F6" s="134">
        <v>2</v>
      </c>
      <c r="G6" s="134">
        <v>0</v>
      </c>
      <c r="H6" s="134">
        <v>0</v>
      </c>
      <c r="I6" s="134">
        <v>2</v>
      </c>
      <c r="J6" s="134">
        <v>3</v>
      </c>
      <c r="K6" s="134">
        <v>0</v>
      </c>
      <c r="L6" s="134">
        <v>1</v>
      </c>
      <c r="M6" s="134">
        <v>0</v>
      </c>
    </row>
    <row r="7" spans="1:13" x14ac:dyDescent="0.25">
      <c r="A7" s="133" t="s">
        <v>1319</v>
      </c>
      <c r="B7" s="134">
        <v>0</v>
      </c>
      <c r="C7" s="134">
        <v>0</v>
      </c>
      <c r="D7" s="134">
        <v>0</v>
      </c>
      <c r="E7" s="134">
        <v>0</v>
      </c>
      <c r="F7" s="134">
        <v>0</v>
      </c>
      <c r="G7" s="134">
        <v>0</v>
      </c>
      <c r="H7" s="134">
        <v>0</v>
      </c>
      <c r="I7" s="134">
        <v>0</v>
      </c>
      <c r="J7" s="134">
        <v>0</v>
      </c>
      <c r="K7" s="134">
        <v>0</v>
      </c>
      <c r="L7" s="134">
        <v>0</v>
      </c>
      <c r="M7" s="134">
        <v>0</v>
      </c>
    </row>
    <row r="8" spans="1:13" x14ac:dyDescent="0.25">
      <c r="A8" s="133" t="s">
        <v>857</v>
      </c>
      <c r="B8" s="134">
        <v>0</v>
      </c>
      <c r="C8" s="134">
        <v>1</v>
      </c>
      <c r="D8" s="134">
        <v>2</v>
      </c>
      <c r="E8" s="134">
        <v>0</v>
      </c>
      <c r="F8" s="134">
        <v>1</v>
      </c>
      <c r="G8" s="134">
        <v>0</v>
      </c>
      <c r="H8" s="134">
        <v>1</v>
      </c>
      <c r="I8" s="134">
        <v>0</v>
      </c>
      <c r="J8" s="134">
        <v>1</v>
      </c>
      <c r="K8" s="134">
        <v>2</v>
      </c>
      <c r="L8" s="134">
        <v>3</v>
      </c>
      <c r="M8" s="134">
        <v>2</v>
      </c>
    </row>
    <row r="9" spans="1:13" x14ac:dyDescent="0.25">
      <c r="A9" s="133" t="s">
        <v>858</v>
      </c>
      <c r="B9" s="134">
        <v>2</v>
      </c>
      <c r="C9" s="134">
        <v>2</v>
      </c>
      <c r="D9" s="134">
        <v>2</v>
      </c>
      <c r="E9" s="134">
        <v>0</v>
      </c>
      <c r="F9" s="134">
        <v>2</v>
      </c>
      <c r="G9" s="134">
        <v>2</v>
      </c>
      <c r="H9" s="134">
        <v>1</v>
      </c>
      <c r="I9" s="134">
        <v>0</v>
      </c>
      <c r="J9" s="134">
        <v>0</v>
      </c>
      <c r="K9" s="134">
        <v>1</v>
      </c>
      <c r="L9" s="134">
        <v>0</v>
      </c>
      <c r="M9" s="134">
        <v>3</v>
      </c>
    </row>
    <row r="10" spans="1:13" x14ac:dyDescent="0.25">
      <c r="A10" s="133" t="s">
        <v>859</v>
      </c>
      <c r="B10" s="134">
        <v>24</v>
      </c>
      <c r="C10" s="134">
        <v>21</v>
      </c>
      <c r="D10" s="134">
        <v>29</v>
      </c>
      <c r="E10" s="134">
        <v>32</v>
      </c>
      <c r="F10" s="134">
        <v>27</v>
      </c>
      <c r="G10" s="134">
        <v>22</v>
      </c>
      <c r="H10" s="134">
        <v>18</v>
      </c>
      <c r="I10" s="134">
        <v>19</v>
      </c>
      <c r="J10" s="134">
        <v>16</v>
      </c>
      <c r="K10" s="134">
        <v>25</v>
      </c>
      <c r="L10" s="134">
        <v>18</v>
      </c>
      <c r="M10" s="134">
        <v>8</v>
      </c>
    </row>
    <row r="11" spans="1:13" x14ac:dyDescent="0.25">
      <c r="A11" s="133" t="s">
        <v>860</v>
      </c>
      <c r="B11" s="134">
        <v>0</v>
      </c>
      <c r="C11" s="134">
        <v>2</v>
      </c>
      <c r="D11" s="134">
        <v>0</v>
      </c>
      <c r="E11" s="134">
        <v>0</v>
      </c>
      <c r="F11" s="134">
        <v>2</v>
      </c>
      <c r="G11" s="134">
        <v>0</v>
      </c>
      <c r="H11" s="134">
        <v>0</v>
      </c>
      <c r="I11" s="134">
        <v>0</v>
      </c>
      <c r="J11" s="134">
        <v>2</v>
      </c>
      <c r="K11" s="134">
        <v>0</v>
      </c>
      <c r="L11" s="134">
        <v>1</v>
      </c>
      <c r="M11" s="134">
        <v>0</v>
      </c>
    </row>
    <row r="12" spans="1:13" x14ac:dyDescent="0.25">
      <c r="A12" s="133" t="s">
        <v>861</v>
      </c>
      <c r="B12" s="134">
        <v>7</v>
      </c>
      <c r="C12" s="134">
        <v>5</v>
      </c>
      <c r="D12" s="134">
        <v>8</v>
      </c>
      <c r="E12" s="134">
        <v>12</v>
      </c>
      <c r="F12" s="134">
        <v>9</v>
      </c>
      <c r="G12" s="134">
        <v>10</v>
      </c>
      <c r="H12" s="134">
        <v>8</v>
      </c>
      <c r="I12" s="134">
        <v>6</v>
      </c>
      <c r="J12" s="134">
        <v>3</v>
      </c>
      <c r="K12" s="134">
        <v>11</v>
      </c>
      <c r="L12" s="134">
        <v>11</v>
      </c>
      <c r="M12" s="134">
        <v>16</v>
      </c>
    </row>
    <row r="13" spans="1:13" x14ac:dyDescent="0.25">
      <c r="A13" s="1493" t="s">
        <v>1584</v>
      </c>
      <c r="B13" s="134"/>
      <c r="C13" s="134"/>
      <c r="D13" s="134"/>
      <c r="E13" s="134"/>
      <c r="F13" s="134"/>
      <c r="G13" s="134"/>
      <c r="H13" s="134"/>
      <c r="I13" s="134">
        <v>0</v>
      </c>
      <c r="J13" s="134">
        <v>0</v>
      </c>
      <c r="K13" s="134">
        <v>1</v>
      </c>
      <c r="L13" s="134">
        <v>0</v>
      </c>
      <c r="M13" s="134">
        <v>1</v>
      </c>
    </row>
    <row r="14" spans="1:13" x14ac:dyDescent="0.25">
      <c r="A14" s="133" t="s">
        <v>862</v>
      </c>
      <c r="B14" s="134">
        <v>0</v>
      </c>
      <c r="C14" s="134">
        <v>0</v>
      </c>
      <c r="D14" s="134">
        <v>0</v>
      </c>
      <c r="E14" s="134">
        <v>1</v>
      </c>
      <c r="F14" s="134">
        <v>1</v>
      </c>
      <c r="G14" s="134">
        <v>1</v>
      </c>
      <c r="H14" s="134">
        <v>0</v>
      </c>
      <c r="I14" s="134">
        <v>0</v>
      </c>
      <c r="J14" s="134">
        <v>0</v>
      </c>
      <c r="K14" s="134">
        <v>0</v>
      </c>
      <c r="L14" s="134">
        <v>0</v>
      </c>
      <c r="M14" s="134">
        <v>1</v>
      </c>
    </row>
    <row r="15" spans="1:13" x14ac:dyDescent="0.25">
      <c r="A15" s="133" t="s">
        <v>863</v>
      </c>
      <c r="B15" s="134">
        <v>35</v>
      </c>
      <c r="C15" s="134">
        <v>40</v>
      </c>
      <c r="D15" s="134">
        <v>71</v>
      </c>
      <c r="E15" s="134">
        <v>68</v>
      </c>
      <c r="F15" s="134">
        <v>63</v>
      </c>
      <c r="G15" s="134">
        <v>60</v>
      </c>
      <c r="H15" s="134">
        <v>52</v>
      </c>
      <c r="I15" s="134">
        <v>79</v>
      </c>
      <c r="J15" s="134">
        <v>74</v>
      </c>
      <c r="K15" s="134">
        <v>77</v>
      </c>
      <c r="L15" s="134">
        <v>63</v>
      </c>
      <c r="M15" s="134">
        <v>54</v>
      </c>
    </row>
    <row r="16" spans="1:13" x14ac:dyDescent="0.25">
      <c r="A16" s="133" t="s">
        <v>259</v>
      </c>
      <c r="B16" s="134">
        <v>4</v>
      </c>
      <c r="C16" s="134">
        <v>0</v>
      </c>
      <c r="D16" s="134">
        <v>1</v>
      </c>
      <c r="E16" s="134">
        <v>4</v>
      </c>
      <c r="F16" s="134">
        <v>0</v>
      </c>
      <c r="G16" s="134">
        <v>2</v>
      </c>
      <c r="H16" s="134">
        <v>4</v>
      </c>
      <c r="I16" s="134">
        <v>0</v>
      </c>
      <c r="J16" s="134">
        <v>4</v>
      </c>
      <c r="K16" s="134">
        <v>1</v>
      </c>
      <c r="L16" s="134">
        <v>2</v>
      </c>
      <c r="M16" s="134">
        <v>0</v>
      </c>
    </row>
    <row r="17" spans="1:13" x14ac:dyDescent="0.25">
      <c r="A17" s="133" t="s">
        <v>864</v>
      </c>
      <c r="B17" s="134">
        <v>0</v>
      </c>
      <c r="C17" s="134">
        <v>0</v>
      </c>
      <c r="D17" s="134">
        <v>0</v>
      </c>
      <c r="E17" s="134">
        <v>0</v>
      </c>
      <c r="F17" s="134">
        <v>0</v>
      </c>
      <c r="G17" s="134">
        <v>0</v>
      </c>
      <c r="H17" s="134">
        <v>0</v>
      </c>
      <c r="I17" s="134">
        <v>1</v>
      </c>
      <c r="J17" s="134">
        <v>1</v>
      </c>
      <c r="K17" s="134">
        <v>0</v>
      </c>
      <c r="L17" s="134">
        <v>0</v>
      </c>
      <c r="M17" s="134">
        <v>0</v>
      </c>
    </row>
    <row r="18" spans="1:13" x14ac:dyDescent="0.25">
      <c r="A18" s="133" t="s">
        <v>865</v>
      </c>
      <c r="B18" s="134">
        <v>14</v>
      </c>
      <c r="C18" s="134">
        <v>5</v>
      </c>
      <c r="D18" s="134">
        <v>7</v>
      </c>
      <c r="E18" s="134">
        <v>9</v>
      </c>
      <c r="F18" s="134">
        <v>8</v>
      </c>
      <c r="G18" s="134">
        <v>5</v>
      </c>
      <c r="H18" s="134">
        <v>8</v>
      </c>
      <c r="I18" s="134">
        <v>4</v>
      </c>
      <c r="J18" s="134">
        <v>12</v>
      </c>
      <c r="K18" s="134">
        <v>9</v>
      </c>
      <c r="L18" s="134">
        <v>8</v>
      </c>
      <c r="M18" s="134">
        <v>10</v>
      </c>
    </row>
    <row r="19" spans="1:13" x14ac:dyDescent="0.25">
      <c r="A19" s="133" t="s">
        <v>869</v>
      </c>
      <c r="B19" s="134">
        <v>3</v>
      </c>
      <c r="C19" s="134">
        <v>0</v>
      </c>
      <c r="D19" s="134">
        <v>2</v>
      </c>
      <c r="E19" s="134">
        <v>5</v>
      </c>
      <c r="F19" s="134">
        <v>3</v>
      </c>
      <c r="G19" s="134">
        <v>1</v>
      </c>
      <c r="H19" s="134">
        <v>2</v>
      </c>
      <c r="I19" s="134">
        <v>3</v>
      </c>
      <c r="J19" s="134">
        <v>2</v>
      </c>
      <c r="K19" s="134">
        <v>1</v>
      </c>
      <c r="L19" s="134">
        <v>2</v>
      </c>
      <c r="M19" s="134">
        <v>2</v>
      </c>
    </row>
    <row r="20" spans="1:13" x14ac:dyDescent="0.25">
      <c r="A20" s="133" t="s">
        <v>871</v>
      </c>
      <c r="B20" s="134">
        <v>0</v>
      </c>
      <c r="C20" s="134">
        <v>1</v>
      </c>
      <c r="D20" s="134">
        <v>0</v>
      </c>
      <c r="E20" s="134">
        <v>2</v>
      </c>
      <c r="F20" s="134">
        <v>0</v>
      </c>
      <c r="G20" s="134">
        <v>0</v>
      </c>
      <c r="H20" s="134">
        <v>1</v>
      </c>
      <c r="I20" s="134">
        <v>0</v>
      </c>
      <c r="J20" s="134">
        <v>0</v>
      </c>
      <c r="K20" s="134">
        <v>1</v>
      </c>
      <c r="L20" s="134">
        <v>0</v>
      </c>
      <c r="M20" s="134">
        <v>0</v>
      </c>
    </row>
    <row r="21" spans="1:13" x14ac:dyDescent="0.25">
      <c r="A21" s="133" t="s">
        <v>872</v>
      </c>
      <c r="B21" s="134">
        <v>0</v>
      </c>
      <c r="C21" s="134">
        <v>1</v>
      </c>
      <c r="D21" s="134">
        <v>2</v>
      </c>
      <c r="E21" s="134">
        <v>0</v>
      </c>
      <c r="F21" s="134">
        <v>1</v>
      </c>
      <c r="G21" s="134">
        <v>0</v>
      </c>
      <c r="H21" s="134">
        <v>1</v>
      </c>
      <c r="I21" s="134">
        <v>1</v>
      </c>
      <c r="J21" s="134">
        <v>1</v>
      </c>
      <c r="K21" s="134">
        <v>0</v>
      </c>
      <c r="L21" s="134">
        <v>0</v>
      </c>
      <c r="M21" s="134">
        <v>1</v>
      </c>
    </row>
    <row r="22" spans="1:13" x14ac:dyDescent="0.25">
      <c r="A22" s="133" t="s">
        <v>873</v>
      </c>
      <c r="B22" s="134">
        <v>1</v>
      </c>
      <c r="C22" s="134">
        <v>3</v>
      </c>
      <c r="D22" s="134">
        <v>0</v>
      </c>
      <c r="E22" s="134">
        <v>1</v>
      </c>
      <c r="F22" s="134">
        <v>1</v>
      </c>
      <c r="G22" s="134">
        <v>2</v>
      </c>
      <c r="H22" s="134">
        <v>0</v>
      </c>
      <c r="I22" s="134">
        <v>1</v>
      </c>
      <c r="J22" s="134">
        <v>0</v>
      </c>
      <c r="K22" s="134">
        <v>0</v>
      </c>
      <c r="L22" s="134">
        <v>0</v>
      </c>
      <c r="M22" s="134">
        <v>2</v>
      </c>
    </row>
    <row r="23" spans="1:13" x14ac:dyDescent="0.25">
      <c r="A23" s="133" t="s">
        <v>874</v>
      </c>
      <c r="B23" s="134">
        <v>1</v>
      </c>
      <c r="C23" s="134">
        <v>2</v>
      </c>
      <c r="D23" s="134">
        <v>0</v>
      </c>
      <c r="E23" s="134">
        <v>1</v>
      </c>
      <c r="F23" s="134">
        <v>3</v>
      </c>
      <c r="G23" s="134">
        <v>2</v>
      </c>
      <c r="H23" s="134">
        <v>0</v>
      </c>
      <c r="I23" s="134">
        <v>0</v>
      </c>
      <c r="J23" s="134">
        <v>1</v>
      </c>
      <c r="K23" s="134">
        <v>1</v>
      </c>
      <c r="L23" s="134">
        <v>2</v>
      </c>
      <c r="M23" s="134">
        <v>1</v>
      </c>
    </row>
    <row r="24" spans="1:13" x14ac:dyDescent="0.25">
      <c r="A24" s="133" t="s">
        <v>875</v>
      </c>
      <c r="B24" s="134">
        <v>0</v>
      </c>
      <c r="C24" s="134">
        <v>0</v>
      </c>
      <c r="D24" s="134">
        <v>0</v>
      </c>
      <c r="E24" s="134">
        <v>0</v>
      </c>
      <c r="F24" s="134">
        <v>0</v>
      </c>
      <c r="G24" s="134">
        <v>0</v>
      </c>
      <c r="H24" s="134">
        <v>0</v>
      </c>
      <c r="I24" s="134">
        <v>1</v>
      </c>
      <c r="J24" s="134">
        <v>0</v>
      </c>
      <c r="K24" s="134">
        <v>0</v>
      </c>
      <c r="L24" s="134">
        <v>0</v>
      </c>
      <c r="M24" s="134">
        <v>0</v>
      </c>
    </row>
    <row r="25" spans="1:13" x14ac:dyDescent="0.25">
      <c r="A25" s="133" t="s">
        <v>876</v>
      </c>
      <c r="B25" s="134">
        <v>2</v>
      </c>
      <c r="C25" s="134">
        <v>2</v>
      </c>
      <c r="D25" s="134">
        <v>0</v>
      </c>
      <c r="E25" s="134">
        <v>0</v>
      </c>
      <c r="F25" s="134">
        <v>1</v>
      </c>
      <c r="G25" s="134">
        <v>3</v>
      </c>
      <c r="H25" s="134">
        <v>0</v>
      </c>
      <c r="I25" s="134">
        <v>1</v>
      </c>
      <c r="J25" s="134">
        <v>1</v>
      </c>
      <c r="K25" s="134">
        <v>3</v>
      </c>
      <c r="L25" s="134">
        <v>5</v>
      </c>
      <c r="M25" s="134">
        <v>3</v>
      </c>
    </row>
    <row r="26" spans="1:13" ht="24.75" customHeight="1" x14ac:dyDescent="0.25">
      <c r="A26" s="378" t="s">
        <v>877</v>
      </c>
      <c r="B26" s="377" t="s">
        <v>851</v>
      </c>
      <c r="C26" s="377" t="s">
        <v>852</v>
      </c>
      <c r="D26" s="377" t="str">
        <f t="shared" ref="D26:M26" si="0">+D4</f>
        <v>FALL 2003</v>
      </c>
      <c r="E26" s="377" t="str">
        <f t="shared" si="0"/>
        <v>FALL 2004</v>
      </c>
      <c r="F26" s="377" t="str">
        <f t="shared" si="0"/>
        <v>FALL 2005</v>
      </c>
      <c r="G26" s="377" t="str">
        <f t="shared" si="0"/>
        <v>FALL 2006</v>
      </c>
      <c r="H26" s="377" t="str">
        <f t="shared" si="0"/>
        <v>FALL 2007</v>
      </c>
      <c r="I26" s="377" t="str">
        <f t="shared" si="0"/>
        <v>FALL 2008</v>
      </c>
      <c r="J26" s="377" t="str">
        <f t="shared" si="0"/>
        <v>FALL 2009</v>
      </c>
      <c r="K26" s="377" t="str">
        <f t="shared" si="0"/>
        <v>FALL 2010</v>
      </c>
      <c r="L26" s="377" t="str">
        <f t="shared" si="0"/>
        <v>FALL 2011</v>
      </c>
      <c r="M26" s="377" t="str">
        <f t="shared" si="0"/>
        <v>FALL 2012</v>
      </c>
    </row>
    <row r="27" spans="1:13" x14ac:dyDescent="0.25">
      <c r="A27" s="133" t="s">
        <v>878</v>
      </c>
      <c r="B27" s="134">
        <v>0</v>
      </c>
      <c r="C27" s="134">
        <v>0</v>
      </c>
      <c r="D27" s="134">
        <v>0</v>
      </c>
      <c r="E27" s="134">
        <v>0</v>
      </c>
      <c r="F27" s="134">
        <v>0</v>
      </c>
      <c r="G27" s="134">
        <v>0</v>
      </c>
      <c r="H27" s="134">
        <v>0</v>
      </c>
      <c r="I27" s="134">
        <v>0</v>
      </c>
      <c r="J27" s="134">
        <v>1</v>
      </c>
      <c r="K27" s="134">
        <v>0</v>
      </c>
      <c r="L27" s="134">
        <v>0</v>
      </c>
      <c r="M27" s="134">
        <v>1</v>
      </c>
    </row>
    <row r="28" spans="1:13" x14ac:dyDescent="0.25">
      <c r="A28" s="133" t="s">
        <v>879</v>
      </c>
      <c r="B28" s="134">
        <v>8</v>
      </c>
      <c r="C28" s="134">
        <v>2</v>
      </c>
      <c r="D28" s="134">
        <v>1</v>
      </c>
      <c r="E28" s="134">
        <v>1</v>
      </c>
      <c r="F28" s="134">
        <v>2</v>
      </c>
      <c r="G28" s="134">
        <v>2</v>
      </c>
      <c r="H28" s="134">
        <v>2</v>
      </c>
      <c r="I28" s="134">
        <v>3</v>
      </c>
      <c r="J28" s="134">
        <v>5</v>
      </c>
      <c r="K28" s="134">
        <v>3</v>
      </c>
      <c r="L28" s="134">
        <v>1</v>
      </c>
      <c r="M28" s="134">
        <v>2</v>
      </c>
    </row>
    <row r="29" spans="1:13" x14ac:dyDescent="0.25">
      <c r="A29" s="133" t="s">
        <v>880</v>
      </c>
      <c r="B29" s="134">
        <v>1</v>
      </c>
      <c r="C29" s="134">
        <v>0</v>
      </c>
      <c r="D29" s="134">
        <v>2</v>
      </c>
      <c r="E29" s="134">
        <v>1</v>
      </c>
      <c r="F29" s="134">
        <v>2</v>
      </c>
      <c r="G29" s="134">
        <v>3</v>
      </c>
      <c r="H29" s="134">
        <v>2</v>
      </c>
      <c r="I29" s="134">
        <v>0</v>
      </c>
      <c r="J29" s="134">
        <v>0</v>
      </c>
      <c r="K29" s="134">
        <v>3</v>
      </c>
      <c r="L29" s="134">
        <v>2</v>
      </c>
      <c r="M29" s="134">
        <v>1</v>
      </c>
    </row>
    <row r="30" spans="1:13" x14ac:dyDescent="0.25">
      <c r="A30" s="133" t="s">
        <v>881</v>
      </c>
      <c r="B30" s="134">
        <v>3</v>
      </c>
      <c r="C30" s="134">
        <v>6</v>
      </c>
      <c r="D30" s="134">
        <v>1</v>
      </c>
      <c r="E30" s="134">
        <v>2</v>
      </c>
      <c r="F30" s="134">
        <v>0</v>
      </c>
      <c r="G30" s="134">
        <v>5</v>
      </c>
      <c r="H30" s="134">
        <v>2</v>
      </c>
      <c r="I30" s="134">
        <v>1</v>
      </c>
      <c r="J30" s="134">
        <v>2</v>
      </c>
      <c r="K30" s="134">
        <v>4</v>
      </c>
      <c r="L30" s="134">
        <v>0</v>
      </c>
      <c r="M30" s="134">
        <v>4</v>
      </c>
    </row>
    <row r="31" spans="1:13" x14ac:dyDescent="0.25">
      <c r="A31" s="133" t="s">
        <v>882</v>
      </c>
      <c r="B31" s="134">
        <v>1</v>
      </c>
      <c r="C31" s="134">
        <v>0</v>
      </c>
      <c r="D31" s="134">
        <v>0</v>
      </c>
      <c r="E31" s="134">
        <v>2</v>
      </c>
      <c r="F31" s="134">
        <v>1</v>
      </c>
      <c r="G31" s="134">
        <v>1</v>
      </c>
      <c r="H31" s="134">
        <v>3</v>
      </c>
      <c r="I31" s="134">
        <v>0</v>
      </c>
      <c r="J31" s="134">
        <v>0</v>
      </c>
      <c r="K31" s="134">
        <v>0</v>
      </c>
      <c r="L31" s="134">
        <v>1</v>
      </c>
      <c r="M31" s="134">
        <v>1</v>
      </c>
    </row>
    <row r="32" spans="1:13" x14ac:dyDescent="0.25">
      <c r="A32" s="133" t="s">
        <v>883</v>
      </c>
      <c r="B32" s="134">
        <v>0</v>
      </c>
      <c r="C32" s="134">
        <v>0</v>
      </c>
      <c r="D32" s="134">
        <v>0</v>
      </c>
      <c r="E32" s="134">
        <v>0</v>
      </c>
      <c r="F32" s="134">
        <v>0</v>
      </c>
      <c r="G32" s="134">
        <v>0</v>
      </c>
      <c r="H32" s="134">
        <v>0</v>
      </c>
      <c r="I32" s="134">
        <v>0</v>
      </c>
      <c r="J32" s="134">
        <v>0</v>
      </c>
      <c r="K32" s="134">
        <v>0</v>
      </c>
      <c r="L32" s="134">
        <v>0</v>
      </c>
      <c r="M32" s="134">
        <v>0</v>
      </c>
    </row>
    <row r="33" spans="1:13" x14ac:dyDescent="0.25">
      <c r="A33" s="133" t="s">
        <v>884</v>
      </c>
      <c r="B33" s="134">
        <v>4</v>
      </c>
      <c r="C33" s="134">
        <v>2</v>
      </c>
      <c r="D33" s="134">
        <v>1</v>
      </c>
      <c r="E33" s="134">
        <v>4</v>
      </c>
      <c r="F33" s="134">
        <v>1</v>
      </c>
      <c r="G33" s="134">
        <v>0</v>
      </c>
      <c r="H33" s="134">
        <v>0</v>
      </c>
      <c r="I33" s="134">
        <v>2</v>
      </c>
      <c r="J33" s="134">
        <v>0</v>
      </c>
      <c r="K33" s="134">
        <v>3</v>
      </c>
      <c r="L33" s="134">
        <v>0</v>
      </c>
      <c r="M33" s="134">
        <v>0</v>
      </c>
    </row>
    <row r="34" spans="1:13" x14ac:dyDescent="0.25">
      <c r="A34" s="133" t="s">
        <v>885</v>
      </c>
      <c r="B34" s="134">
        <v>2</v>
      </c>
      <c r="C34" s="134">
        <v>1</v>
      </c>
      <c r="D34" s="134">
        <v>2</v>
      </c>
      <c r="E34" s="134">
        <v>3</v>
      </c>
      <c r="F34" s="134">
        <v>2</v>
      </c>
      <c r="G34" s="134">
        <v>5</v>
      </c>
      <c r="H34" s="134">
        <v>2</v>
      </c>
      <c r="I34" s="134">
        <v>2</v>
      </c>
      <c r="J34" s="134">
        <v>0</v>
      </c>
      <c r="K34" s="134">
        <v>1</v>
      </c>
      <c r="L34" s="134">
        <v>1</v>
      </c>
      <c r="M34" s="134">
        <v>1</v>
      </c>
    </row>
    <row r="35" spans="1:13" x14ac:dyDescent="0.25">
      <c r="A35" s="133" t="s">
        <v>870</v>
      </c>
      <c r="B35" s="134">
        <v>2</v>
      </c>
      <c r="C35" s="134">
        <v>0</v>
      </c>
      <c r="D35" s="134">
        <v>0</v>
      </c>
      <c r="E35" s="134">
        <v>0</v>
      </c>
      <c r="F35" s="134">
        <v>0</v>
      </c>
      <c r="G35" s="134">
        <v>1</v>
      </c>
      <c r="H35" s="134">
        <v>0</v>
      </c>
      <c r="I35" s="134">
        <v>0</v>
      </c>
      <c r="J35" s="134">
        <v>0</v>
      </c>
      <c r="K35" s="134">
        <v>0</v>
      </c>
      <c r="L35" s="134">
        <v>1</v>
      </c>
      <c r="M35" s="134">
        <v>2</v>
      </c>
    </row>
    <row r="36" spans="1:13" x14ac:dyDescent="0.25">
      <c r="A36" s="133" t="s">
        <v>886</v>
      </c>
      <c r="B36" s="134">
        <v>7</v>
      </c>
      <c r="C36" s="134">
        <v>4</v>
      </c>
      <c r="D36" s="134">
        <v>1</v>
      </c>
      <c r="E36" s="134">
        <v>10</v>
      </c>
      <c r="F36" s="134">
        <v>8</v>
      </c>
      <c r="G36" s="134">
        <v>6</v>
      </c>
      <c r="H36" s="134">
        <v>12</v>
      </c>
      <c r="I36" s="134">
        <v>2</v>
      </c>
      <c r="J36" s="134">
        <v>7</v>
      </c>
      <c r="K36" s="134">
        <v>5</v>
      </c>
      <c r="L36" s="134">
        <v>4</v>
      </c>
      <c r="M36" s="134">
        <v>4</v>
      </c>
    </row>
    <row r="37" spans="1:13" x14ac:dyDescent="0.25">
      <c r="A37" s="133" t="s">
        <v>730</v>
      </c>
      <c r="B37" s="134">
        <v>3</v>
      </c>
      <c r="C37" s="134">
        <v>2</v>
      </c>
      <c r="D37" s="134">
        <v>1</v>
      </c>
      <c r="E37" s="134">
        <v>2</v>
      </c>
      <c r="F37" s="134">
        <v>1</v>
      </c>
      <c r="G37" s="134">
        <v>2</v>
      </c>
      <c r="H37" s="134">
        <v>1</v>
      </c>
      <c r="I37" s="134">
        <v>2</v>
      </c>
      <c r="J37" s="134">
        <v>5</v>
      </c>
      <c r="K37" s="134">
        <v>1</v>
      </c>
      <c r="L37" s="134">
        <v>5</v>
      </c>
      <c r="M37" s="134">
        <v>2</v>
      </c>
    </row>
    <row r="38" spans="1:13" x14ac:dyDescent="0.25">
      <c r="A38" s="133" t="s">
        <v>887</v>
      </c>
      <c r="B38" s="134">
        <v>3</v>
      </c>
      <c r="C38" s="134">
        <v>1</v>
      </c>
      <c r="D38" s="134">
        <v>0</v>
      </c>
      <c r="E38" s="134">
        <v>2</v>
      </c>
      <c r="F38" s="134">
        <v>4</v>
      </c>
      <c r="G38" s="134">
        <v>2</v>
      </c>
      <c r="H38" s="134">
        <v>1</v>
      </c>
      <c r="I38" s="134">
        <v>1</v>
      </c>
      <c r="J38" s="134">
        <v>4</v>
      </c>
      <c r="K38" s="134">
        <v>1</v>
      </c>
      <c r="L38" s="134">
        <v>0</v>
      </c>
      <c r="M38" s="134">
        <v>3</v>
      </c>
    </row>
    <row r="39" spans="1:13" ht="24.75" customHeight="1" x14ac:dyDescent="0.25">
      <c r="A39" s="378" t="s">
        <v>888</v>
      </c>
      <c r="B39" s="377" t="s">
        <v>851</v>
      </c>
      <c r="C39" s="377" t="s">
        <v>852</v>
      </c>
      <c r="D39" s="377" t="str">
        <f t="shared" ref="D39:L39" si="1">+D4</f>
        <v>FALL 2003</v>
      </c>
      <c r="E39" s="377" t="str">
        <f t="shared" si="1"/>
        <v>FALL 2004</v>
      </c>
      <c r="F39" s="377" t="str">
        <f t="shared" si="1"/>
        <v>FALL 2005</v>
      </c>
      <c r="G39" s="377" t="str">
        <f t="shared" si="1"/>
        <v>FALL 2006</v>
      </c>
      <c r="H39" s="377" t="str">
        <f t="shared" si="1"/>
        <v>FALL 2007</v>
      </c>
      <c r="I39" s="377" t="str">
        <f t="shared" si="1"/>
        <v>FALL 2008</v>
      </c>
      <c r="J39" s="377" t="str">
        <f t="shared" si="1"/>
        <v>FALL 2009</v>
      </c>
      <c r="K39" s="377" t="str">
        <f t="shared" si="1"/>
        <v>FALL 2010</v>
      </c>
      <c r="L39" s="377" t="str">
        <f t="shared" si="1"/>
        <v>FALL 2011</v>
      </c>
      <c r="M39" s="377" t="str">
        <f>+M26</f>
        <v>FALL 2012</v>
      </c>
    </row>
    <row r="40" spans="1:13" ht="12.75" customHeight="1" x14ac:dyDescent="0.25">
      <c r="A40" s="1494" t="s">
        <v>1583</v>
      </c>
      <c r="B40" s="134"/>
      <c r="C40" s="134"/>
      <c r="D40" s="134"/>
      <c r="E40" s="134"/>
      <c r="F40" s="134"/>
      <c r="G40" s="134"/>
      <c r="H40" s="134"/>
      <c r="I40" s="134">
        <v>0</v>
      </c>
      <c r="J40" s="134">
        <v>2</v>
      </c>
      <c r="K40" s="134">
        <v>1</v>
      </c>
      <c r="L40" s="134">
        <v>0</v>
      </c>
      <c r="M40" s="134">
        <v>0</v>
      </c>
    </row>
    <row r="41" spans="1:13" ht="12.75" customHeight="1" x14ac:dyDescent="0.25">
      <c r="A41" s="133" t="s">
        <v>890</v>
      </c>
      <c r="B41" s="134">
        <v>0</v>
      </c>
      <c r="C41" s="134">
        <v>0</v>
      </c>
      <c r="D41" s="134">
        <v>0</v>
      </c>
      <c r="E41" s="134">
        <v>0</v>
      </c>
      <c r="F41" s="134">
        <v>0</v>
      </c>
      <c r="G41" s="134">
        <v>0</v>
      </c>
      <c r="H41" s="134">
        <v>0</v>
      </c>
      <c r="I41" s="134">
        <v>0</v>
      </c>
      <c r="J41" s="134">
        <v>0</v>
      </c>
      <c r="K41" s="134">
        <v>0</v>
      </c>
      <c r="L41" s="134">
        <v>0</v>
      </c>
      <c r="M41" s="134">
        <v>0</v>
      </c>
    </row>
    <row r="42" spans="1:13" x14ac:dyDescent="0.25">
      <c r="A42" s="133" t="s">
        <v>891</v>
      </c>
      <c r="B42" s="134">
        <v>11</v>
      </c>
      <c r="C42" s="134">
        <v>10</v>
      </c>
      <c r="D42" s="134">
        <v>9</v>
      </c>
      <c r="E42" s="134">
        <v>7</v>
      </c>
      <c r="F42" s="134">
        <v>6</v>
      </c>
      <c r="G42" s="134">
        <v>8</v>
      </c>
      <c r="H42" s="134">
        <v>4</v>
      </c>
      <c r="I42" s="134">
        <v>7</v>
      </c>
      <c r="J42" s="134">
        <v>13</v>
      </c>
      <c r="K42" s="134">
        <v>5</v>
      </c>
      <c r="L42" s="134">
        <v>3</v>
      </c>
      <c r="M42" s="134">
        <v>7</v>
      </c>
    </row>
    <row r="43" spans="1:13" ht="24.75" customHeight="1" x14ac:dyDescent="0.25">
      <c r="A43" s="378" t="s">
        <v>892</v>
      </c>
      <c r="B43" s="377" t="s">
        <v>851</v>
      </c>
      <c r="C43" s="377" t="s">
        <v>852</v>
      </c>
      <c r="D43" s="377" t="str">
        <f t="shared" ref="D43:L43" si="2">+D39</f>
        <v>FALL 2003</v>
      </c>
      <c r="E43" s="377" t="str">
        <f t="shared" si="2"/>
        <v>FALL 2004</v>
      </c>
      <c r="F43" s="377" t="str">
        <f t="shared" si="2"/>
        <v>FALL 2005</v>
      </c>
      <c r="G43" s="377" t="str">
        <f t="shared" si="2"/>
        <v>FALL 2006</v>
      </c>
      <c r="H43" s="377" t="str">
        <f t="shared" si="2"/>
        <v>FALL 2007</v>
      </c>
      <c r="I43" s="377" t="str">
        <f>+I39</f>
        <v>FALL 2008</v>
      </c>
      <c r="J43" s="377" t="str">
        <f t="shared" si="2"/>
        <v>FALL 2009</v>
      </c>
      <c r="K43" s="377" t="str">
        <f t="shared" si="2"/>
        <v>FALL 2010</v>
      </c>
      <c r="L43" s="377" t="str">
        <f t="shared" si="2"/>
        <v>FALL 2011</v>
      </c>
      <c r="M43" s="377" t="str">
        <f>+M39</f>
        <v>FALL 2012</v>
      </c>
    </row>
    <row r="44" spans="1:13" x14ac:dyDescent="0.25">
      <c r="A44" s="133" t="s">
        <v>893</v>
      </c>
      <c r="B44" s="134">
        <v>0</v>
      </c>
      <c r="C44" s="134">
        <v>0</v>
      </c>
      <c r="D44" s="134">
        <v>0</v>
      </c>
      <c r="E44" s="134">
        <v>1</v>
      </c>
      <c r="F44" s="134">
        <v>0</v>
      </c>
      <c r="G44" s="134">
        <v>1</v>
      </c>
      <c r="H44" s="134">
        <v>0</v>
      </c>
      <c r="I44" s="134">
        <v>0</v>
      </c>
      <c r="J44" s="134">
        <v>1</v>
      </c>
      <c r="K44" s="134">
        <v>0</v>
      </c>
      <c r="L44" s="134">
        <v>0</v>
      </c>
      <c r="M44" s="134">
        <v>1</v>
      </c>
    </row>
    <row r="45" spans="1:13" x14ac:dyDescent="0.25">
      <c r="A45" s="133" t="s">
        <v>731</v>
      </c>
      <c r="B45" s="134">
        <v>2</v>
      </c>
      <c r="C45" s="134">
        <v>1</v>
      </c>
      <c r="D45" s="134">
        <v>0</v>
      </c>
      <c r="E45" s="134">
        <v>2</v>
      </c>
      <c r="F45" s="134">
        <v>6</v>
      </c>
      <c r="G45" s="134">
        <v>1</v>
      </c>
      <c r="H45" s="134">
        <v>5</v>
      </c>
      <c r="I45" s="134">
        <v>5</v>
      </c>
      <c r="J45" s="134">
        <v>0</v>
      </c>
      <c r="K45" s="134">
        <v>3</v>
      </c>
      <c r="L45" s="134">
        <v>4</v>
      </c>
      <c r="M45" s="134">
        <v>4</v>
      </c>
    </row>
    <row r="46" spans="1:13" x14ac:dyDescent="0.25">
      <c r="A46" s="1493" t="s">
        <v>1585</v>
      </c>
      <c r="B46" s="134"/>
      <c r="C46" s="134"/>
      <c r="D46" s="134"/>
      <c r="E46" s="134"/>
      <c r="F46" s="134"/>
      <c r="G46" s="134"/>
      <c r="H46" s="134"/>
      <c r="I46" s="134">
        <v>0</v>
      </c>
      <c r="J46" s="134">
        <v>0</v>
      </c>
      <c r="K46" s="134">
        <v>0</v>
      </c>
      <c r="L46" s="134">
        <v>0</v>
      </c>
      <c r="M46" s="134">
        <v>1</v>
      </c>
    </row>
    <row r="47" spans="1:13" x14ac:dyDescent="0.25">
      <c r="A47" s="133" t="s">
        <v>894</v>
      </c>
      <c r="B47" s="134">
        <v>1</v>
      </c>
      <c r="C47" s="134">
        <v>1</v>
      </c>
      <c r="D47" s="134">
        <v>1</v>
      </c>
      <c r="E47" s="134">
        <v>0</v>
      </c>
      <c r="F47" s="134">
        <v>0</v>
      </c>
      <c r="G47" s="134">
        <v>2</v>
      </c>
      <c r="H47" s="134">
        <v>0</v>
      </c>
      <c r="I47" s="134">
        <v>1</v>
      </c>
      <c r="J47" s="134">
        <v>0</v>
      </c>
      <c r="K47" s="134">
        <v>0</v>
      </c>
      <c r="L47" s="134">
        <v>3</v>
      </c>
      <c r="M47" s="134">
        <v>0</v>
      </c>
    </row>
    <row r="48" spans="1:13" x14ac:dyDescent="0.25">
      <c r="A48" s="133" t="s">
        <v>895</v>
      </c>
      <c r="B48" s="134">
        <v>0</v>
      </c>
      <c r="C48" s="134">
        <v>0</v>
      </c>
      <c r="D48" s="134">
        <v>0</v>
      </c>
      <c r="E48" s="134">
        <v>0</v>
      </c>
      <c r="F48" s="134">
        <v>0</v>
      </c>
      <c r="G48" s="134">
        <v>0</v>
      </c>
      <c r="H48" s="134">
        <v>0</v>
      </c>
      <c r="I48" s="134">
        <v>0</v>
      </c>
      <c r="J48" s="134">
        <v>0</v>
      </c>
      <c r="K48" s="134">
        <v>0</v>
      </c>
      <c r="L48" s="134">
        <v>0</v>
      </c>
      <c r="M48" s="134">
        <v>0</v>
      </c>
    </row>
    <row r="49" spans="1:13" x14ac:dyDescent="0.25">
      <c r="A49" s="133" t="s">
        <v>896</v>
      </c>
      <c r="B49" s="134">
        <v>0</v>
      </c>
      <c r="C49" s="134">
        <v>0</v>
      </c>
      <c r="D49" s="134">
        <v>0</v>
      </c>
      <c r="E49" s="134">
        <v>0</v>
      </c>
      <c r="F49" s="134">
        <v>0</v>
      </c>
      <c r="G49" s="134">
        <v>0</v>
      </c>
      <c r="H49" s="134">
        <v>0</v>
      </c>
      <c r="I49" s="134">
        <v>0</v>
      </c>
      <c r="J49" s="134">
        <v>0</v>
      </c>
      <c r="K49" s="134">
        <v>0</v>
      </c>
      <c r="L49" s="134">
        <v>0</v>
      </c>
      <c r="M49" s="134">
        <v>0</v>
      </c>
    </row>
    <row r="50" spans="1:13" x14ac:dyDescent="0.25">
      <c r="A50" s="133" t="s">
        <v>897</v>
      </c>
      <c r="B50" s="134">
        <v>1</v>
      </c>
      <c r="C50" s="134">
        <v>1</v>
      </c>
      <c r="D50" s="134">
        <v>1</v>
      </c>
      <c r="E50" s="134">
        <v>3</v>
      </c>
      <c r="F50" s="134">
        <v>0</v>
      </c>
      <c r="G50" s="134">
        <v>1</v>
      </c>
      <c r="H50" s="134">
        <v>4</v>
      </c>
      <c r="I50" s="134">
        <v>2</v>
      </c>
      <c r="J50" s="134">
        <v>3</v>
      </c>
      <c r="K50" s="134">
        <v>0</v>
      </c>
      <c r="L50" s="134">
        <v>0</v>
      </c>
      <c r="M50" s="134">
        <v>2</v>
      </c>
    </row>
    <row r="51" spans="1:13" x14ac:dyDescent="0.25">
      <c r="A51" s="133" t="s">
        <v>898</v>
      </c>
      <c r="B51" s="134">
        <v>0</v>
      </c>
      <c r="C51" s="134">
        <v>0</v>
      </c>
      <c r="D51" s="134">
        <v>0</v>
      </c>
      <c r="E51" s="134">
        <v>2</v>
      </c>
      <c r="F51" s="134">
        <v>1</v>
      </c>
      <c r="G51" s="134">
        <v>3</v>
      </c>
      <c r="H51" s="134">
        <v>1</v>
      </c>
      <c r="I51" s="134">
        <v>1</v>
      </c>
      <c r="J51" s="134">
        <v>1</v>
      </c>
      <c r="K51" s="134">
        <v>2</v>
      </c>
      <c r="L51" s="134">
        <v>0</v>
      </c>
      <c r="M51" s="134">
        <v>0</v>
      </c>
    </row>
    <row r="52" spans="1:13" x14ac:dyDescent="0.25">
      <c r="A52" s="133" t="s">
        <v>899</v>
      </c>
      <c r="B52" s="134">
        <v>0</v>
      </c>
      <c r="C52" s="134">
        <v>0</v>
      </c>
      <c r="D52" s="134">
        <v>0</v>
      </c>
      <c r="E52" s="134">
        <v>1</v>
      </c>
      <c r="F52" s="134">
        <v>0</v>
      </c>
      <c r="G52" s="134">
        <v>0</v>
      </c>
      <c r="H52" s="134">
        <v>0</v>
      </c>
      <c r="I52" s="134">
        <v>1</v>
      </c>
      <c r="J52" s="134">
        <v>2</v>
      </c>
      <c r="K52" s="134">
        <v>0</v>
      </c>
      <c r="L52" s="134">
        <v>0</v>
      </c>
      <c r="M52" s="134">
        <v>0</v>
      </c>
    </row>
    <row r="53" spans="1:13" x14ac:dyDescent="0.25">
      <c r="A53" s="133" t="s">
        <v>900</v>
      </c>
      <c r="B53" s="134">
        <v>0</v>
      </c>
      <c r="C53" s="134">
        <v>0</v>
      </c>
      <c r="D53" s="134">
        <v>0</v>
      </c>
      <c r="E53" s="134">
        <v>0</v>
      </c>
      <c r="F53" s="134">
        <v>0</v>
      </c>
      <c r="G53" s="134">
        <v>0</v>
      </c>
      <c r="H53" s="134">
        <v>0</v>
      </c>
      <c r="I53" s="134">
        <v>0</v>
      </c>
      <c r="J53" s="134">
        <v>0</v>
      </c>
      <c r="K53" s="134">
        <v>0</v>
      </c>
      <c r="L53" s="134">
        <v>0</v>
      </c>
      <c r="M53" s="134">
        <v>0</v>
      </c>
    </row>
    <row r="54" spans="1:13" x14ac:dyDescent="0.25">
      <c r="A54" s="133" t="s">
        <v>901</v>
      </c>
      <c r="B54" s="134">
        <v>0</v>
      </c>
      <c r="C54" s="134">
        <v>1</v>
      </c>
      <c r="D54" s="134">
        <v>1</v>
      </c>
      <c r="E54" s="134">
        <v>0</v>
      </c>
      <c r="F54" s="134">
        <v>0</v>
      </c>
      <c r="G54" s="134">
        <v>0</v>
      </c>
      <c r="H54" s="134">
        <v>1</v>
      </c>
      <c r="I54" s="134">
        <v>0</v>
      </c>
      <c r="J54" s="134">
        <v>1</v>
      </c>
      <c r="K54" s="134">
        <v>0</v>
      </c>
      <c r="L54" s="134">
        <v>0</v>
      </c>
      <c r="M54" s="134">
        <v>0</v>
      </c>
    </row>
    <row r="55" spans="1:13" x14ac:dyDescent="0.25">
      <c r="A55" s="133" t="s">
        <v>902</v>
      </c>
      <c r="B55" s="134">
        <v>1</v>
      </c>
      <c r="C55" s="134">
        <v>0</v>
      </c>
      <c r="D55" s="134">
        <v>0</v>
      </c>
      <c r="E55" s="134">
        <v>0</v>
      </c>
      <c r="F55" s="134">
        <v>1</v>
      </c>
      <c r="G55" s="134">
        <v>0</v>
      </c>
      <c r="H55" s="134">
        <v>0</v>
      </c>
      <c r="I55" s="134">
        <v>0</v>
      </c>
      <c r="J55" s="134">
        <v>0</v>
      </c>
      <c r="K55" s="134">
        <v>0</v>
      </c>
      <c r="L55" s="134">
        <v>0</v>
      </c>
      <c r="M55" s="134">
        <v>1</v>
      </c>
    </row>
    <row r="56" spans="1:13" x14ac:dyDescent="0.25">
      <c r="A56" s="1493" t="s">
        <v>1580</v>
      </c>
      <c r="B56" s="134">
        <v>0</v>
      </c>
      <c r="C56" s="134">
        <v>0</v>
      </c>
      <c r="D56" s="134">
        <v>0</v>
      </c>
      <c r="E56" s="134">
        <v>0</v>
      </c>
      <c r="F56" s="134">
        <v>0</v>
      </c>
      <c r="G56" s="134">
        <v>0</v>
      </c>
      <c r="H56" s="134">
        <v>0</v>
      </c>
      <c r="I56" s="134">
        <v>1</v>
      </c>
      <c r="J56" s="134">
        <v>0</v>
      </c>
      <c r="K56" s="134">
        <v>0</v>
      </c>
      <c r="L56" s="134">
        <v>0</v>
      </c>
      <c r="M56" s="134">
        <v>0</v>
      </c>
    </row>
    <row r="57" spans="1:13" x14ac:dyDescent="0.25">
      <c r="A57" s="133" t="s">
        <v>903</v>
      </c>
      <c r="B57" s="134">
        <v>1</v>
      </c>
      <c r="C57" s="134">
        <v>6</v>
      </c>
      <c r="D57" s="134">
        <v>1</v>
      </c>
      <c r="E57" s="134">
        <v>1</v>
      </c>
      <c r="F57" s="134">
        <v>2</v>
      </c>
      <c r="G57" s="134">
        <v>4</v>
      </c>
      <c r="H57" s="134">
        <v>0</v>
      </c>
      <c r="I57" s="134">
        <v>1</v>
      </c>
      <c r="J57" s="134">
        <v>3</v>
      </c>
      <c r="K57" s="134">
        <v>1</v>
      </c>
      <c r="L57" s="134">
        <v>3</v>
      </c>
      <c r="M57" s="134">
        <v>0</v>
      </c>
    </row>
    <row r="58" spans="1:13" x14ac:dyDescent="0.25">
      <c r="A58" s="133" t="s">
        <v>904</v>
      </c>
      <c r="B58" s="134">
        <v>1</v>
      </c>
      <c r="C58" s="134">
        <v>0</v>
      </c>
      <c r="D58" s="134">
        <v>2</v>
      </c>
      <c r="E58" s="134">
        <v>1</v>
      </c>
      <c r="F58" s="134">
        <v>0</v>
      </c>
      <c r="G58" s="134">
        <v>1</v>
      </c>
      <c r="H58" s="134">
        <v>0</v>
      </c>
      <c r="I58" s="134">
        <v>0</v>
      </c>
      <c r="J58" s="134">
        <v>0</v>
      </c>
      <c r="K58" s="134">
        <v>0</v>
      </c>
      <c r="L58" s="134">
        <v>0</v>
      </c>
      <c r="M58" s="134">
        <v>0</v>
      </c>
    </row>
    <row r="59" spans="1:13" x14ac:dyDescent="0.25">
      <c r="A59" s="1493" t="s">
        <v>1581</v>
      </c>
      <c r="B59" s="134"/>
      <c r="C59" s="134"/>
      <c r="D59" s="134"/>
      <c r="E59" s="134"/>
      <c r="F59" s="134"/>
      <c r="G59" s="134"/>
      <c r="H59" s="134"/>
      <c r="I59" s="134">
        <v>0</v>
      </c>
      <c r="J59" s="134">
        <v>1</v>
      </c>
      <c r="K59" s="134">
        <v>0</v>
      </c>
      <c r="L59" s="134">
        <v>0</v>
      </c>
      <c r="M59" s="134">
        <v>0</v>
      </c>
    </row>
    <row r="60" spans="1:13" x14ac:dyDescent="0.25">
      <c r="A60" s="133" t="s">
        <v>905</v>
      </c>
      <c r="B60" s="134">
        <v>0</v>
      </c>
      <c r="C60" s="134">
        <v>1</v>
      </c>
      <c r="D60" s="134">
        <v>0</v>
      </c>
      <c r="E60" s="134">
        <v>1</v>
      </c>
      <c r="F60" s="134">
        <v>0</v>
      </c>
      <c r="G60" s="134">
        <v>0</v>
      </c>
      <c r="H60" s="134">
        <v>1</v>
      </c>
      <c r="I60" s="134">
        <v>1</v>
      </c>
      <c r="J60" s="134">
        <v>2</v>
      </c>
      <c r="K60" s="134">
        <v>0</v>
      </c>
      <c r="L60" s="134">
        <v>0</v>
      </c>
      <c r="M60" s="134">
        <v>1</v>
      </c>
    </row>
    <row r="61" spans="1:13" x14ac:dyDescent="0.25">
      <c r="A61" s="133" t="s">
        <v>906</v>
      </c>
      <c r="B61" s="134">
        <v>1</v>
      </c>
      <c r="C61" s="134">
        <v>0</v>
      </c>
      <c r="D61" s="134">
        <v>0</v>
      </c>
      <c r="E61" s="134">
        <v>1</v>
      </c>
      <c r="F61" s="134">
        <v>0</v>
      </c>
      <c r="G61" s="134">
        <v>3</v>
      </c>
      <c r="H61" s="134">
        <v>0</v>
      </c>
      <c r="I61" s="134">
        <v>1</v>
      </c>
      <c r="J61" s="134">
        <v>0</v>
      </c>
      <c r="K61" s="134">
        <v>0</v>
      </c>
      <c r="L61" s="134">
        <v>1</v>
      </c>
      <c r="M61" s="134">
        <v>0</v>
      </c>
    </row>
    <row r="62" spans="1:13" x14ac:dyDescent="0.25">
      <c r="A62" s="133" t="s">
        <v>907</v>
      </c>
      <c r="B62" s="134">
        <v>2</v>
      </c>
      <c r="C62" s="134">
        <v>2</v>
      </c>
      <c r="D62" s="134">
        <v>4</v>
      </c>
      <c r="E62" s="134">
        <v>0</v>
      </c>
      <c r="F62" s="134">
        <v>1</v>
      </c>
      <c r="G62" s="134">
        <v>1</v>
      </c>
      <c r="H62" s="134">
        <v>3</v>
      </c>
      <c r="I62" s="134">
        <v>1</v>
      </c>
      <c r="J62" s="134">
        <v>3</v>
      </c>
      <c r="K62" s="134">
        <v>1</v>
      </c>
      <c r="L62" s="134">
        <v>1</v>
      </c>
      <c r="M62" s="134">
        <v>3</v>
      </c>
    </row>
    <row r="63" spans="1:13" x14ac:dyDescent="0.25">
      <c r="A63" s="133" t="s">
        <v>908</v>
      </c>
      <c r="B63" s="134">
        <v>5</v>
      </c>
      <c r="C63" s="134">
        <v>0</v>
      </c>
      <c r="D63" s="134">
        <v>2</v>
      </c>
      <c r="E63" s="134">
        <v>3</v>
      </c>
      <c r="F63" s="134">
        <v>1</v>
      </c>
      <c r="G63" s="134">
        <v>0</v>
      </c>
      <c r="H63" s="134">
        <v>1</v>
      </c>
      <c r="I63" s="134">
        <v>1</v>
      </c>
      <c r="J63" s="134">
        <v>1</v>
      </c>
      <c r="K63" s="134">
        <v>2</v>
      </c>
      <c r="L63" s="134">
        <v>0</v>
      </c>
      <c r="M63" s="134">
        <v>1</v>
      </c>
    </row>
    <row r="64" spans="1:13" x14ac:dyDescent="0.25">
      <c r="A64" s="133" t="s">
        <v>909</v>
      </c>
      <c r="B64" s="134">
        <v>3</v>
      </c>
      <c r="C64" s="134">
        <v>0</v>
      </c>
      <c r="D64" s="134">
        <v>2</v>
      </c>
      <c r="E64" s="134">
        <v>1</v>
      </c>
      <c r="F64" s="134">
        <v>0</v>
      </c>
      <c r="G64" s="134">
        <v>0</v>
      </c>
      <c r="H64" s="134">
        <v>1</v>
      </c>
      <c r="I64" s="134">
        <v>0</v>
      </c>
      <c r="J64" s="134">
        <v>0</v>
      </c>
      <c r="K64" s="134">
        <v>1</v>
      </c>
      <c r="L64" s="134">
        <v>0</v>
      </c>
      <c r="M64" s="134">
        <v>0</v>
      </c>
    </row>
    <row r="65" spans="1:13" x14ac:dyDescent="0.25">
      <c r="A65" s="1493" t="s">
        <v>1579</v>
      </c>
      <c r="B65" s="134"/>
      <c r="C65" s="134"/>
      <c r="D65" s="134"/>
      <c r="E65" s="134"/>
      <c r="F65" s="134"/>
      <c r="G65" s="134"/>
      <c r="H65" s="134"/>
      <c r="I65" s="134">
        <v>0</v>
      </c>
      <c r="J65" s="134">
        <v>1</v>
      </c>
      <c r="K65" s="134">
        <v>0</v>
      </c>
      <c r="L65" s="134">
        <v>1</v>
      </c>
      <c r="M65" s="134">
        <v>0</v>
      </c>
    </row>
    <row r="66" spans="1:13" x14ac:dyDescent="0.25">
      <c r="A66" s="133" t="s">
        <v>910</v>
      </c>
      <c r="B66" s="134">
        <v>0</v>
      </c>
      <c r="C66" s="134">
        <v>0</v>
      </c>
      <c r="D66" s="134">
        <v>0</v>
      </c>
      <c r="E66" s="134">
        <v>0</v>
      </c>
      <c r="F66" s="134">
        <v>0</v>
      </c>
      <c r="G66" s="134">
        <v>0</v>
      </c>
      <c r="H66" s="134">
        <v>0</v>
      </c>
      <c r="I66" s="134">
        <v>0</v>
      </c>
      <c r="J66" s="134">
        <v>0</v>
      </c>
      <c r="K66" s="134">
        <v>0</v>
      </c>
      <c r="L66" s="134">
        <v>0</v>
      </c>
      <c r="M66" s="134">
        <v>0</v>
      </c>
    </row>
    <row r="67" spans="1:13" x14ac:dyDescent="0.25">
      <c r="A67" s="1493" t="s">
        <v>1582</v>
      </c>
      <c r="B67" s="134"/>
      <c r="C67" s="134"/>
      <c r="D67" s="134"/>
      <c r="E67" s="134"/>
      <c r="F67" s="134"/>
      <c r="G67" s="134"/>
      <c r="H67" s="134"/>
      <c r="I67" s="134">
        <v>1</v>
      </c>
      <c r="J67" s="134">
        <v>0</v>
      </c>
      <c r="K67" s="134">
        <v>0</v>
      </c>
      <c r="L67" s="134">
        <v>1</v>
      </c>
      <c r="M67" s="134">
        <v>1</v>
      </c>
    </row>
    <row r="68" spans="1:13" x14ac:dyDescent="0.25">
      <c r="A68" s="133" t="s">
        <v>911</v>
      </c>
      <c r="B68" s="134">
        <v>0</v>
      </c>
      <c r="C68" s="134">
        <v>1</v>
      </c>
      <c r="D68" s="134">
        <v>2</v>
      </c>
      <c r="E68" s="134">
        <v>0</v>
      </c>
      <c r="F68" s="134">
        <v>2</v>
      </c>
      <c r="G68" s="134">
        <v>0</v>
      </c>
      <c r="H68" s="134">
        <v>0</v>
      </c>
      <c r="I68" s="134">
        <v>0</v>
      </c>
      <c r="J68" s="134">
        <v>0</v>
      </c>
      <c r="K68" s="134">
        <v>0</v>
      </c>
      <c r="L68" s="134">
        <v>0</v>
      </c>
      <c r="M68" s="134">
        <v>0</v>
      </c>
    </row>
    <row r="69" spans="1:13" x14ac:dyDescent="0.25">
      <c r="A69" s="133" t="s">
        <v>912</v>
      </c>
      <c r="B69" s="134">
        <v>0</v>
      </c>
      <c r="C69" s="134">
        <v>1</v>
      </c>
      <c r="D69" s="134">
        <v>0</v>
      </c>
      <c r="E69" s="134">
        <v>0</v>
      </c>
      <c r="F69" s="134">
        <v>0</v>
      </c>
      <c r="G69" s="134">
        <v>0</v>
      </c>
      <c r="H69" s="134">
        <v>0</v>
      </c>
      <c r="I69" s="134">
        <v>0</v>
      </c>
      <c r="J69" s="134">
        <v>0</v>
      </c>
      <c r="K69" s="134">
        <v>1</v>
      </c>
      <c r="L69" s="134">
        <v>1</v>
      </c>
      <c r="M69" s="134">
        <v>1</v>
      </c>
    </row>
    <row r="70" spans="1:13" ht="24.75" customHeight="1" x14ac:dyDescent="0.25">
      <c r="A70" s="376" t="s">
        <v>913</v>
      </c>
      <c r="B70" s="377" t="s">
        <v>851</v>
      </c>
      <c r="C70" s="377" t="s">
        <v>852</v>
      </c>
      <c r="D70" s="377" t="str">
        <f t="shared" ref="D70:M70" si="3">+D43</f>
        <v>FALL 2003</v>
      </c>
      <c r="E70" s="377" t="str">
        <f t="shared" si="3"/>
        <v>FALL 2004</v>
      </c>
      <c r="F70" s="377" t="str">
        <f t="shared" si="3"/>
        <v>FALL 2005</v>
      </c>
      <c r="G70" s="377" t="str">
        <f t="shared" si="3"/>
        <v>FALL 2006</v>
      </c>
      <c r="H70" s="377" t="str">
        <f t="shared" si="3"/>
        <v>FALL 2007</v>
      </c>
      <c r="I70" s="377" t="str">
        <f t="shared" si="3"/>
        <v>FALL 2008</v>
      </c>
      <c r="J70" s="377" t="str">
        <f t="shared" si="3"/>
        <v>FALL 2009</v>
      </c>
      <c r="K70" s="377" t="str">
        <f t="shared" si="3"/>
        <v>FALL 2010</v>
      </c>
      <c r="L70" s="377" t="str">
        <f t="shared" si="3"/>
        <v>FALL 2011</v>
      </c>
      <c r="M70" s="377" t="str">
        <f t="shared" si="3"/>
        <v>FALL 2012</v>
      </c>
    </row>
    <row r="71" spans="1:13" x14ac:dyDescent="0.25">
      <c r="A71" s="133" t="s">
        <v>914</v>
      </c>
      <c r="B71" s="134">
        <f t="shared" ref="B71:M71" si="4">SUM(B5:B25)</f>
        <v>101</v>
      </c>
      <c r="C71" s="134">
        <f t="shared" si="4"/>
        <v>89</v>
      </c>
      <c r="D71" s="134">
        <f t="shared" si="4"/>
        <v>127</v>
      </c>
      <c r="E71" s="134">
        <f t="shared" si="4"/>
        <v>137</v>
      </c>
      <c r="F71" s="134">
        <f t="shared" si="4"/>
        <v>126</v>
      </c>
      <c r="G71" s="134">
        <f t="shared" si="4"/>
        <v>111</v>
      </c>
      <c r="H71" s="134">
        <f t="shared" si="4"/>
        <v>96</v>
      </c>
      <c r="I71" s="134">
        <f t="shared" si="4"/>
        <v>119</v>
      </c>
      <c r="J71" s="134">
        <f t="shared" si="4"/>
        <v>124</v>
      </c>
      <c r="K71" s="134">
        <f t="shared" si="4"/>
        <v>134</v>
      </c>
      <c r="L71" s="134">
        <f t="shared" si="4"/>
        <v>116</v>
      </c>
      <c r="M71" s="134">
        <f t="shared" si="4"/>
        <v>104</v>
      </c>
    </row>
    <row r="72" spans="1:13" x14ac:dyDescent="0.25">
      <c r="A72" s="133" t="s">
        <v>920</v>
      </c>
      <c r="B72" s="134">
        <f t="shared" ref="B72:M72" si="5">SUM(B27:B38)</f>
        <v>34</v>
      </c>
      <c r="C72" s="134">
        <f t="shared" si="5"/>
        <v>18</v>
      </c>
      <c r="D72" s="134">
        <f t="shared" si="5"/>
        <v>9</v>
      </c>
      <c r="E72" s="134">
        <f t="shared" si="5"/>
        <v>27</v>
      </c>
      <c r="F72" s="134">
        <f t="shared" si="5"/>
        <v>21</v>
      </c>
      <c r="G72" s="134">
        <f t="shared" si="5"/>
        <v>27</v>
      </c>
      <c r="H72" s="134">
        <f t="shared" si="5"/>
        <v>25</v>
      </c>
      <c r="I72" s="134">
        <f t="shared" si="5"/>
        <v>13</v>
      </c>
      <c r="J72" s="134">
        <f t="shared" si="5"/>
        <v>24</v>
      </c>
      <c r="K72" s="134">
        <f t="shared" si="5"/>
        <v>21</v>
      </c>
      <c r="L72" s="134">
        <f t="shared" si="5"/>
        <v>15</v>
      </c>
      <c r="M72" s="134">
        <f t="shared" si="5"/>
        <v>21</v>
      </c>
    </row>
    <row r="73" spans="1:13" x14ac:dyDescent="0.25">
      <c r="A73" s="133" t="s">
        <v>921</v>
      </c>
      <c r="B73" s="134">
        <f t="shared" ref="B73:H73" si="6">SUM(B41:B42)</f>
        <v>11</v>
      </c>
      <c r="C73" s="134">
        <f t="shared" si="6"/>
        <v>10</v>
      </c>
      <c r="D73" s="134">
        <f t="shared" si="6"/>
        <v>9</v>
      </c>
      <c r="E73" s="134">
        <f t="shared" si="6"/>
        <v>7</v>
      </c>
      <c r="F73" s="134">
        <f t="shared" si="6"/>
        <v>6</v>
      </c>
      <c r="G73" s="134">
        <f t="shared" si="6"/>
        <v>8</v>
      </c>
      <c r="H73" s="134">
        <f t="shared" si="6"/>
        <v>4</v>
      </c>
      <c r="I73" s="134">
        <f>SUM(I40:I42)</f>
        <v>7</v>
      </c>
      <c r="J73" s="134">
        <f>SUM(J40:J42)</f>
        <v>15</v>
      </c>
      <c r="K73" s="134">
        <f>SUM(K40:K42)</f>
        <v>6</v>
      </c>
      <c r="L73" s="134">
        <f>SUM(L40:L42)</f>
        <v>3</v>
      </c>
      <c r="M73" s="134">
        <f>SUM(M40:M42)</f>
        <v>7</v>
      </c>
    </row>
    <row r="74" spans="1:13" x14ac:dyDescent="0.25">
      <c r="A74" s="133" t="s">
        <v>922</v>
      </c>
      <c r="B74" s="134">
        <f t="shared" ref="B74:L74" si="7">SUM(B44:B69)</f>
        <v>18</v>
      </c>
      <c r="C74" s="134">
        <f t="shared" si="7"/>
        <v>15</v>
      </c>
      <c r="D74" s="134">
        <f t="shared" si="7"/>
        <v>16</v>
      </c>
      <c r="E74" s="134">
        <f t="shared" si="7"/>
        <v>17</v>
      </c>
      <c r="F74" s="134">
        <f t="shared" si="7"/>
        <v>14</v>
      </c>
      <c r="G74" s="134">
        <f t="shared" si="7"/>
        <v>17</v>
      </c>
      <c r="H74" s="134">
        <f t="shared" si="7"/>
        <v>17</v>
      </c>
      <c r="I74" s="134">
        <f t="shared" si="7"/>
        <v>17</v>
      </c>
      <c r="J74" s="134">
        <f t="shared" si="7"/>
        <v>19</v>
      </c>
      <c r="K74" s="134">
        <f t="shared" si="7"/>
        <v>11</v>
      </c>
      <c r="L74" s="134">
        <f t="shared" si="7"/>
        <v>15</v>
      </c>
      <c r="M74" s="134">
        <f t="shared" ref="M74" si="8">SUM(M44:M69)</f>
        <v>16</v>
      </c>
    </row>
  </sheetData>
  <mergeCells count="2">
    <mergeCell ref="A1:M1"/>
    <mergeCell ref="A2:M2"/>
  </mergeCells>
  <phoneticPr fontId="15" type="noConversion"/>
  <printOptions horizontalCentered="1" verticalCentered="1"/>
  <pageMargins left="0.5" right="0.5" top="0.25" bottom="0.75" header="0.5" footer="0.25"/>
  <pageSetup scale="72" orientation="portrait" r:id="rId1"/>
  <headerFooter alignWithMargins="0">
    <oddHeader xml:space="preserve">&amp;C </oddHeader>
    <oddFooter xml:space="preserve">&amp;LSource: Office of Admissions&amp;C </oddFooter>
  </headerFooter>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9"/>
  <sheetViews>
    <sheetView workbookViewId="0"/>
  </sheetViews>
  <sheetFormatPr defaultColWidth="7.88671875" defaultRowHeight="13.2" x14ac:dyDescent="0.25"/>
  <cols>
    <col min="1" max="1" width="21.6640625" style="1079" customWidth="1"/>
    <col min="2" max="3" width="7.6640625" style="1017" customWidth="1"/>
    <col min="4" max="19" width="8" style="1017" customWidth="1"/>
    <col min="20" max="21" width="7.6640625" style="1017" customWidth="1"/>
    <col min="22" max="22" width="10.33203125" style="1017" customWidth="1"/>
    <col min="23" max="23" width="11.6640625" style="1017" customWidth="1"/>
    <col min="24" max="16384" width="7.88671875" style="1017"/>
  </cols>
  <sheetData>
    <row r="1" spans="1:23" ht="17.399999999999999" x14ac:dyDescent="0.25">
      <c r="A1" s="135" t="s">
        <v>1523</v>
      </c>
      <c r="B1" s="135"/>
      <c r="C1" s="135"/>
      <c r="D1" s="135"/>
      <c r="E1" s="135"/>
      <c r="F1" s="135"/>
      <c r="G1" s="135"/>
      <c r="H1" s="135"/>
      <c r="I1" s="135"/>
      <c r="J1" s="135"/>
      <c r="K1" s="135"/>
      <c r="L1" s="135"/>
      <c r="M1" s="135"/>
      <c r="N1" s="135"/>
      <c r="O1" s="135"/>
      <c r="P1" s="135"/>
      <c r="Q1" s="135"/>
      <c r="R1" s="135"/>
      <c r="S1" s="135"/>
      <c r="T1" s="135"/>
      <c r="U1" s="135"/>
      <c r="V1" s="135"/>
      <c r="W1" s="135"/>
    </row>
    <row r="2" spans="1:23" ht="12.75" customHeight="1" thickBot="1" x14ac:dyDescent="0.3">
      <c r="A2" s="135"/>
      <c r="B2" s="1018"/>
      <c r="C2" s="1018"/>
      <c r="D2" s="1018"/>
      <c r="E2" s="1018"/>
      <c r="F2" s="1018"/>
      <c r="G2" s="1018"/>
      <c r="H2" s="1018"/>
      <c r="I2" s="1018"/>
      <c r="J2" s="1018"/>
      <c r="K2" s="1018"/>
      <c r="L2" s="1018"/>
      <c r="M2" s="1018"/>
      <c r="N2" s="1018"/>
      <c r="O2" s="1018"/>
      <c r="P2" s="1018"/>
      <c r="Q2" s="1018"/>
      <c r="R2" s="1018"/>
      <c r="S2" s="1018"/>
      <c r="T2" s="1018"/>
      <c r="U2" s="1018"/>
      <c r="V2" s="1018"/>
      <c r="W2" s="1018"/>
    </row>
    <row r="3" spans="1:23" ht="15" customHeight="1" x14ac:dyDescent="0.25">
      <c r="A3" s="1019"/>
      <c r="B3" s="1709" t="s">
        <v>923</v>
      </c>
      <c r="C3" s="1710"/>
      <c r="D3" s="1021"/>
      <c r="E3" s="1022"/>
      <c r="F3" s="1711" t="s">
        <v>924</v>
      </c>
      <c r="G3" s="1710"/>
      <c r="H3" s="1024"/>
      <c r="I3" s="1025"/>
      <c r="J3" s="1024" t="s">
        <v>1401</v>
      </c>
      <c r="K3" s="1026"/>
      <c r="L3" s="1027"/>
      <c r="M3" s="1028"/>
      <c r="N3" s="1029"/>
      <c r="O3" s="1030"/>
      <c r="P3" s="1023"/>
      <c r="Q3" s="1020"/>
      <c r="R3" s="1711" t="s">
        <v>1399</v>
      </c>
      <c r="S3" s="1712"/>
      <c r="T3" s="835" t="s">
        <v>926</v>
      </c>
      <c r="U3" s="835"/>
      <c r="V3" s="835"/>
      <c r="W3" s="835"/>
    </row>
    <row r="4" spans="1:23" x14ac:dyDescent="0.25">
      <c r="A4" s="1031"/>
      <c r="B4" s="1032" t="s">
        <v>927</v>
      </c>
      <c r="C4" s="1033"/>
      <c r="D4" s="1034" t="s">
        <v>1402</v>
      </c>
      <c r="E4" s="1033"/>
      <c r="F4" s="1713" t="s">
        <v>928</v>
      </c>
      <c r="G4" s="1714"/>
      <c r="H4" s="1713" t="s">
        <v>1403</v>
      </c>
      <c r="I4" s="1714"/>
      <c r="J4" s="1713" t="s">
        <v>929</v>
      </c>
      <c r="K4" s="1715"/>
      <c r="L4" s="1032" t="s">
        <v>790</v>
      </c>
      <c r="M4" s="1033"/>
      <c r="N4" s="1716" t="s">
        <v>925</v>
      </c>
      <c r="O4" s="1717"/>
      <c r="P4" s="1713" t="s">
        <v>930</v>
      </c>
      <c r="Q4" s="1714"/>
      <c r="R4" s="1032" t="s">
        <v>1400</v>
      </c>
      <c r="S4" s="1035"/>
      <c r="T4" s="844" t="s">
        <v>780</v>
      </c>
      <c r="U4" s="845"/>
      <c r="V4" s="845"/>
      <c r="W4" s="845"/>
    </row>
    <row r="5" spans="1:23" ht="39.6" x14ac:dyDescent="0.25">
      <c r="A5" s="836" t="s">
        <v>931</v>
      </c>
      <c r="B5" s="1036" t="s">
        <v>932</v>
      </c>
      <c r="C5" s="1037" t="s">
        <v>933</v>
      </c>
      <c r="D5" s="1038" t="s">
        <v>932</v>
      </c>
      <c r="E5" s="1037" t="s">
        <v>933</v>
      </c>
      <c r="F5" s="1038" t="s">
        <v>932</v>
      </c>
      <c r="G5" s="1037" t="s">
        <v>933</v>
      </c>
      <c r="H5" s="1038" t="s">
        <v>932</v>
      </c>
      <c r="I5" s="1037" t="s">
        <v>933</v>
      </c>
      <c r="J5" s="1038" t="s">
        <v>932</v>
      </c>
      <c r="K5" s="1037" t="s">
        <v>933</v>
      </c>
      <c r="L5" s="1036" t="s">
        <v>932</v>
      </c>
      <c r="M5" s="1037" t="s">
        <v>933</v>
      </c>
      <c r="N5" s="1036" t="s">
        <v>932</v>
      </c>
      <c r="O5" s="1037" t="s">
        <v>933</v>
      </c>
      <c r="P5" s="1036" t="s">
        <v>932</v>
      </c>
      <c r="Q5" s="1039" t="s">
        <v>933</v>
      </c>
      <c r="R5" s="1036" t="s">
        <v>932</v>
      </c>
      <c r="S5" s="1040" t="s">
        <v>933</v>
      </c>
      <c r="T5" s="1041" t="s">
        <v>932</v>
      </c>
      <c r="U5" s="1037" t="s">
        <v>933</v>
      </c>
      <c r="V5" s="1037" t="s">
        <v>780</v>
      </c>
      <c r="W5" s="1042" t="s">
        <v>934</v>
      </c>
    </row>
    <row r="6" spans="1:23" ht="30" customHeight="1" x14ac:dyDescent="0.25">
      <c r="A6" s="837" t="s">
        <v>935</v>
      </c>
      <c r="B6" s="364"/>
      <c r="C6" s="363"/>
      <c r="D6" s="362"/>
      <c r="E6" s="363"/>
      <c r="F6" s="362"/>
      <c r="G6" s="363"/>
      <c r="H6" s="362"/>
      <c r="I6" s="363"/>
      <c r="J6" s="1043"/>
      <c r="K6" s="1015"/>
      <c r="L6" s="364"/>
      <c r="M6" s="363"/>
      <c r="N6" s="364"/>
      <c r="O6" s="363"/>
      <c r="P6" s="364"/>
      <c r="Q6" s="1013"/>
      <c r="R6" s="364"/>
      <c r="S6" s="365"/>
      <c r="T6" s="757"/>
      <c r="U6" s="363"/>
      <c r="V6" s="363"/>
      <c r="W6" s="363"/>
    </row>
    <row r="7" spans="1:23" x14ac:dyDescent="0.25">
      <c r="A7" s="1044" t="s">
        <v>689</v>
      </c>
      <c r="B7" s="1045">
        <v>6</v>
      </c>
      <c r="C7" s="1046">
        <v>3</v>
      </c>
      <c r="D7" s="1047">
        <v>39</v>
      </c>
      <c r="E7" s="1046">
        <v>143</v>
      </c>
      <c r="F7" s="1047">
        <v>0</v>
      </c>
      <c r="G7" s="1046">
        <v>2</v>
      </c>
      <c r="H7" s="1047">
        <v>2</v>
      </c>
      <c r="I7" s="1048">
        <v>0</v>
      </c>
      <c r="J7" s="1049">
        <v>0</v>
      </c>
      <c r="K7" s="1048">
        <v>0</v>
      </c>
      <c r="L7" s="1045">
        <v>3</v>
      </c>
      <c r="M7" s="1046">
        <v>5</v>
      </c>
      <c r="N7" s="1045">
        <v>100</v>
      </c>
      <c r="O7" s="1046">
        <v>243</v>
      </c>
      <c r="P7" s="1045">
        <v>0</v>
      </c>
      <c r="Q7" s="1050">
        <v>5</v>
      </c>
      <c r="R7" s="1045">
        <v>4</v>
      </c>
      <c r="S7" s="1051">
        <v>12</v>
      </c>
      <c r="T7" s="1052">
        <f>+B7+D7+F7+H7+J7+L7+N7+P7+R7</f>
        <v>154</v>
      </c>
      <c r="U7" s="1045">
        <f>+C7+E7+G7+I7+K7+M7+O7+Q7+S7</f>
        <v>413</v>
      </c>
      <c r="V7" s="1053">
        <f t="shared" ref="V7:V19" si="0">T7+U7</f>
        <v>567</v>
      </c>
      <c r="W7" s="1054">
        <f t="shared" ref="W7:W19" si="1">V7/$V$34</f>
        <v>0.18596261069203018</v>
      </c>
    </row>
    <row r="8" spans="1:23" x14ac:dyDescent="0.25">
      <c r="A8" s="1044" t="s">
        <v>690</v>
      </c>
      <c r="B8" s="1045">
        <v>16</v>
      </c>
      <c r="C8" s="1046">
        <v>18</v>
      </c>
      <c r="D8" s="1047">
        <v>53</v>
      </c>
      <c r="E8" s="1046">
        <v>172</v>
      </c>
      <c r="F8" s="1047">
        <v>0</v>
      </c>
      <c r="G8" s="1046">
        <v>1</v>
      </c>
      <c r="H8" s="1047">
        <v>1</v>
      </c>
      <c r="I8" s="1050">
        <v>0</v>
      </c>
      <c r="J8" s="1049">
        <v>0</v>
      </c>
      <c r="K8" s="1048">
        <v>0</v>
      </c>
      <c r="L8" s="1045">
        <v>2</v>
      </c>
      <c r="M8" s="1046">
        <v>1</v>
      </c>
      <c r="N8" s="1045">
        <v>46</v>
      </c>
      <c r="O8" s="1046">
        <v>70</v>
      </c>
      <c r="P8" s="1045">
        <v>1</v>
      </c>
      <c r="Q8" s="1050">
        <v>2</v>
      </c>
      <c r="R8" s="1045">
        <v>2</v>
      </c>
      <c r="S8" s="1051">
        <v>5</v>
      </c>
      <c r="T8" s="1052">
        <f>+B8+D8+F8+H8+J8+L8+N8+P8+R8</f>
        <v>121</v>
      </c>
      <c r="U8" s="1045">
        <f>+C8+E8+G8+I8+K8+M8+O8+Q8+S8</f>
        <v>269</v>
      </c>
      <c r="V8" s="1053">
        <f t="shared" si="0"/>
        <v>390</v>
      </c>
      <c r="W8" s="1054">
        <f t="shared" si="1"/>
        <v>0.12791079042308953</v>
      </c>
    </row>
    <row r="9" spans="1:23" x14ac:dyDescent="0.25">
      <c r="A9" s="1044" t="s">
        <v>691</v>
      </c>
      <c r="B9" s="1045">
        <f>+B8+B7</f>
        <v>22</v>
      </c>
      <c r="C9" s="1046">
        <f t="shared" ref="C9:S9" si="2">+C8+C7</f>
        <v>21</v>
      </c>
      <c r="D9" s="1047">
        <f t="shared" si="2"/>
        <v>92</v>
      </c>
      <c r="E9" s="1046">
        <f t="shared" si="2"/>
        <v>315</v>
      </c>
      <c r="F9" s="1047">
        <f t="shared" si="2"/>
        <v>0</v>
      </c>
      <c r="G9" s="1046">
        <f t="shared" si="2"/>
        <v>3</v>
      </c>
      <c r="H9" s="1047">
        <f t="shared" si="2"/>
        <v>3</v>
      </c>
      <c r="I9" s="1050">
        <f t="shared" si="2"/>
        <v>0</v>
      </c>
      <c r="J9" s="1047">
        <f t="shared" si="2"/>
        <v>0</v>
      </c>
      <c r="K9" s="1050">
        <f t="shared" si="2"/>
        <v>0</v>
      </c>
      <c r="L9" s="1045">
        <f t="shared" si="2"/>
        <v>5</v>
      </c>
      <c r="M9" s="1046">
        <f t="shared" si="2"/>
        <v>6</v>
      </c>
      <c r="N9" s="1047">
        <f t="shared" si="2"/>
        <v>146</v>
      </c>
      <c r="O9" s="1046">
        <f t="shared" si="2"/>
        <v>313</v>
      </c>
      <c r="P9" s="1047">
        <f t="shared" si="2"/>
        <v>1</v>
      </c>
      <c r="Q9" s="1050">
        <f t="shared" si="2"/>
        <v>7</v>
      </c>
      <c r="R9" s="1045">
        <f t="shared" si="2"/>
        <v>6</v>
      </c>
      <c r="S9" s="1051">
        <f t="shared" si="2"/>
        <v>17</v>
      </c>
      <c r="T9" s="1052">
        <f>B9+D9+F9+H9+L9+N9+R9+P9</f>
        <v>275</v>
      </c>
      <c r="U9" s="1045">
        <f>C9+E9+G9+I9+M9+O9+S9+Q9</f>
        <v>682</v>
      </c>
      <c r="V9" s="1053">
        <f t="shared" si="0"/>
        <v>957</v>
      </c>
      <c r="W9" s="1054">
        <f t="shared" si="1"/>
        <v>0.31387340111511969</v>
      </c>
    </row>
    <row r="10" spans="1:23" x14ac:dyDescent="0.25">
      <c r="A10" s="1044" t="s">
        <v>936</v>
      </c>
      <c r="B10" s="1045">
        <v>13</v>
      </c>
      <c r="C10" s="1046">
        <v>4</v>
      </c>
      <c r="D10" s="1047">
        <v>50</v>
      </c>
      <c r="E10" s="1046">
        <v>158</v>
      </c>
      <c r="F10" s="1047">
        <v>0</v>
      </c>
      <c r="G10" s="1046">
        <v>2</v>
      </c>
      <c r="H10" s="1047">
        <v>0</v>
      </c>
      <c r="I10" s="1050">
        <v>2</v>
      </c>
      <c r="J10" s="1049">
        <v>0</v>
      </c>
      <c r="K10" s="1048">
        <v>0</v>
      </c>
      <c r="L10" s="1045">
        <v>4</v>
      </c>
      <c r="M10" s="1046">
        <v>8</v>
      </c>
      <c r="N10" s="1045">
        <v>121</v>
      </c>
      <c r="O10" s="1046">
        <v>209</v>
      </c>
      <c r="P10" s="1045">
        <v>2</v>
      </c>
      <c r="Q10" s="1050">
        <v>4</v>
      </c>
      <c r="R10" s="1045">
        <v>3</v>
      </c>
      <c r="S10" s="1051">
        <v>6</v>
      </c>
      <c r="T10" s="1052">
        <f t="shared" ref="T10:U13" si="3">+B10+D10+F10+H10+J10+L10+N10+P10+R10</f>
        <v>193</v>
      </c>
      <c r="U10" s="1045">
        <f t="shared" si="3"/>
        <v>393</v>
      </c>
      <c r="V10" s="1053">
        <f t="shared" si="0"/>
        <v>586</v>
      </c>
      <c r="W10" s="1054">
        <f t="shared" si="1"/>
        <v>0.19219416202033454</v>
      </c>
    </row>
    <row r="11" spans="1:23" x14ac:dyDescent="0.25">
      <c r="A11" s="1044" t="s">
        <v>937</v>
      </c>
      <c r="B11" s="1045">
        <v>8</v>
      </c>
      <c r="C11" s="1046">
        <v>1</v>
      </c>
      <c r="D11" s="1047">
        <v>42</v>
      </c>
      <c r="E11" s="1046">
        <v>146</v>
      </c>
      <c r="F11" s="1047">
        <v>0</v>
      </c>
      <c r="G11" s="1046">
        <v>1</v>
      </c>
      <c r="H11" s="1047">
        <v>2</v>
      </c>
      <c r="I11" s="1050">
        <v>1</v>
      </c>
      <c r="J11" s="1049">
        <v>1</v>
      </c>
      <c r="K11" s="1048">
        <v>0</v>
      </c>
      <c r="L11" s="1045">
        <v>3</v>
      </c>
      <c r="M11" s="1046">
        <v>3</v>
      </c>
      <c r="N11" s="1045">
        <v>113</v>
      </c>
      <c r="O11" s="1046">
        <v>233</v>
      </c>
      <c r="P11" s="1045">
        <v>5</v>
      </c>
      <c r="Q11" s="1050">
        <v>5</v>
      </c>
      <c r="R11" s="1045">
        <v>5</v>
      </c>
      <c r="S11" s="1051">
        <v>8</v>
      </c>
      <c r="T11" s="1052">
        <f t="shared" si="3"/>
        <v>179</v>
      </c>
      <c r="U11" s="1045">
        <f t="shared" si="3"/>
        <v>398</v>
      </c>
      <c r="V11" s="1053">
        <f t="shared" si="0"/>
        <v>577</v>
      </c>
      <c r="W11" s="1054">
        <f t="shared" si="1"/>
        <v>0.18924237454903248</v>
      </c>
    </row>
    <row r="12" spans="1:23" x14ac:dyDescent="0.25">
      <c r="A12" s="1044" t="s">
        <v>938</v>
      </c>
      <c r="B12" s="1045">
        <v>5</v>
      </c>
      <c r="C12" s="1046">
        <v>3</v>
      </c>
      <c r="D12" s="1047">
        <v>31</v>
      </c>
      <c r="E12" s="1046">
        <v>108</v>
      </c>
      <c r="F12" s="1047">
        <v>0</v>
      </c>
      <c r="G12" s="1046">
        <v>1</v>
      </c>
      <c r="H12" s="1047">
        <v>2</v>
      </c>
      <c r="I12" s="1050">
        <v>0</v>
      </c>
      <c r="J12" s="1049">
        <v>3</v>
      </c>
      <c r="K12" s="1048">
        <v>1</v>
      </c>
      <c r="L12" s="1045">
        <v>4</v>
      </c>
      <c r="M12" s="1046">
        <v>1</v>
      </c>
      <c r="N12" s="1045">
        <v>142</v>
      </c>
      <c r="O12" s="1046">
        <v>260</v>
      </c>
      <c r="P12" s="1045">
        <v>5</v>
      </c>
      <c r="Q12" s="1050">
        <v>12</v>
      </c>
      <c r="R12" s="1045">
        <v>0</v>
      </c>
      <c r="S12" s="1051">
        <v>7</v>
      </c>
      <c r="T12" s="1052">
        <f t="shared" si="3"/>
        <v>192</v>
      </c>
      <c r="U12" s="1045">
        <f t="shared" si="3"/>
        <v>393</v>
      </c>
      <c r="V12" s="1053">
        <f t="shared" si="0"/>
        <v>585</v>
      </c>
      <c r="W12" s="1054">
        <f t="shared" si="1"/>
        <v>0.19186618563463431</v>
      </c>
    </row>
    <row r="13" spans="1:23" x14ac:dyDescent="0.25">
      <c r="A13" s="1044" t="s">
        <v>939</v>
      </c>
      <c r="B13" s="1045">
        <v>0</v>
      </c>
      <c r="C13" s="1046">
        <v>0</v>
      </c>
      <c r="D13" s="1047">
        <v>0</v>
      </c>
      <c r="E13" s="1046">
        <v>0</v>
      </c>
      <c r="F13" s="1047">
        <v>0</v>
      </c>
      <c r="G13" s="1046">
        <v>0</v>
      </c>
      <c r="H13" s="1047">
        <v>0</v>
      </c>
      <c r="I13" s="1050">
        <v>0</v>
      </c>
      <c r="J13" s="1049">
        <v>0</v>
      </c>
      <c r="K13" s="1048">
        <v>0</v>
      </c>
      <c r="L13" s="1045">
        <v>0</v>
      </c>
      <c r="M13" s="1046">
        <v>0</v>
      </c>
      <c r="N13" s="1045">
        <v>1</v>
      </c>
      <c r="O13" s="1046">
        <v>0</v>
      </c>
      <c r="P13" s="1045">
        <v>0</v>
      </c>
      <c r="Q13" s="1050">
        <v>0</v>
      </c>
      <c r="R13" s="1045">
        <v>0</v>
      </c>
      <c r="S13" s="1051">
        <v>0</v>
      </c>
      <c r="T13" s="1052">
        <f t="shared" si="3"/>
        <v>1</v>
      </c>
      <c r="U13" s="1045">
        <f t="shared" si="3"/>
        <v>0</v>
      </c>
      <c r="V13" s="1053">
        <f>T13+U13</f>
        <v>1</v>
      </c>
      <c r="W13" s="1054">
        <f t="shared" si="1"/>
        <v>3.2797638570022957E-4</v>
      </c>
    </row>
    <row r="14" spans="1:23" x14ac:dyDescent="0.25">
      <c r="A14" s="1055" t="s">
        <v>940</v>
      </c>
      <c r="B14" s="1056">
        <f>SUM(B9:B13)</f>
        <v>48</v>
      </c>
      <c r="C14" s="1046">
        <f t="shared" ref="C14:U14" si="4">SUM(C9:C13)</f>
        <v>29</v>
      </c>
      <c r="D14" s="1057">
        <f t="shared" si="4"/>
        <v>215</v>
      </c>
      <c r="E14" s="1046">
        <f t="shared" si="4"/>
        <v>727</v>
      </c>
      <c r="F14" s="1057">
        <f t="shared" si="4"/>
        <v>0</v>
      </c>
      <c r="G14" s="1046">
        <f t="shared" si="4"/>
        <v>7</v>
      </c>
      <c r="H14" s="1057">
        <f t="shared" si="4"/>
        <v>7</v>
      </c>
      <c r="I14" s="1050">
        <f t="shared" si="4"/>
        <v>3</v>
      </c>
      <c r="J14" s="1057">
        <f t="shared" si="4"/>
        <v>4</v>
      </c>
      <c r="K14" s="1050">
        <f t="shared" si="4"/>
        <v>1</v>
      </c>
      <c r="L14" s="1056">
        <f t="shared" si="4"/>
        <v>16</v>
      </c>
      <c r="M14" s="1046">
        <f t="shared" si="4"/>
        <v>18</v>
      </c>
      <c r="N14" s="1057">
        <f t="shared" si="4"/>
        <v>523</v>
      </c>
      <c r="O14" s="1046">
        <f t="shared" si="4"/>
        <v>1015</v>
      </c>
      <c r="P14" s="1057">
        <f t="shared" si="4"/>
        <v>13</v>
      </c>
      <c r="Q14" s="1050">
        <f t="shared" si="4"/>
        <v>28</v>
      </c>
      <c r="R14" s="1056">
        <f t="shared" si="4"/>
        <v>14</v>
      </c>
      <c r="S14" s="1051">
        <f t="shared" si="4"/>
        <v>38</v>
      </c>
      <c r="T14" s="1058">
        <f>SUM(T9:T13)</f>
        <v>840</v>
      </c>
      <c r="U14" s="1048">
        <f t="shared" si="4"/>
        <v>1866</v>
      </c>
      <c r="V14" s="1053">
        <f t="shared" si="0"/>
        <v>2706</v>
      </c>
      <c r="W14" s="1054">
        <f t="shared" si="1"/>
        <v>0.88750409970482125</v>
      </c>
    </row>
    <row r="15" spans="1:23" x14ac:dyDescent="0.25">
      <c r="A15" s="1055" t="s">
        <v>490</v>
      </c>
      <c r="B15" s="1056">
        <v>0</v>
      </c>
      <c r="C15" s="1046">
        <v>0</v>
      </c>
      <c r="D15" s="1057">
        <v>0</v>
      </c>
      <c r="E15" s="1046">
        <v>0</v>
      </c>
      <c r="F15" s="1057">
        <v>0</v>
      </c>
      <c r="G15" s="1046">
        <v>0</v>
      </c>
      <c r="H15" s="1057">
        <v>0</v>
      </c>
      <c r="I15" s="1050">
        <v>0</v>
      </c>
      <c r="J15" s="1049">
        <v>0</v>
      </c>
      <c r="K15" s="1048">
        <v>0</v>
      </c>
      <c r="L15" s="1056">
        <v>0</v>
      </c>
      <c r="M15" s="1046">
        <v>0</v>
      </c>
      <c r="N15" s="1056">
        <v>0</v>
      </c>
      <c r="O15" s="1046">
        <v>0</v>
      </c>
      <c r="P15" s="1056">
        <v>0</v>
      </c>
      <c r="Q15" s="1050">
        <v>0</v>
      </c>
      <c r="R15" s="1056">
        <v>0</v>
      </c>
      <c r="S15" s="1051">
        <v>0</v>
      </c>
      <c r="T15" s="1052">
        <f t="shared" ref="T15:U17" si="5">+B15+D15+F15+H15+J15+L15+N15+P15+R15</f>
        <v>0</v>
      </c>
      <c r="U15" s="1045">
        <f t="shared" si="5"/>
        <v>0</v>
      </c>
      <c r="V15" s="1059">
        <f>T15+U15</f>
        <v>0</v>
      </c>
      <c r="W15" s="1054">
        <f t="shared" si="1"/>
        <v>0</v>
      </c>
    </row>
    <row r="16" spans="1:23" x14ac:dyDescent="0.25">
      <c r="A16" s="1044" t="s">
        <v>946</v>
      </c>
      <c r="B16" s="1056">
        <v>0</v>
      </c>
      <c r="C16" s="1060">
        <v>0</v>
      </c>
      <c r="D16" s="1057">
        <v>2</v>
      </c>
      <c r="E16" s="1060">
        <v>0</v>
      </c>
      <c r="F16" s="1057">
        <v>0</v>
      </c>
      <c r="G16" s="1060">
        <v>0</v>
      </c>
      <c r="H16" s="1057">
        <v>0</v>
      </c>
      <c r="I16" s="1061">
        <v>0</v>
      </c>
      <c r="J16" s="1062">
        <v>0</v>
      </c>
      <c r="K16" s="1063">
        <v>0</v>
      </c>
      <c r="L16" s="1056">
        <v>0</v>
      </c>
      <c r="M16" s="1060">
        <v>0</v>
      </c>
      <c r="N16" s="1056">
        <v>2</v>
      </c>
      <c r="O16" s="1060">
        <v>3</v>
      </c>
      <c r="P16" s="1056">
        <v>0</v>
      </c>
      <c r="Q16" s="1061">
        <v>0</v>
      </c>
      <c r="R16" s="1056">
        <v>0</v>
      </c>
      <c r="S16" s="1064">
        <v>0</v>
      </c>
      <c r="T16" s="1052">
        <f t="shared" si="5"/>
        <v>4</v>
      </c>
      <c r="U16" s="1045">
        <f t="shared" si="5"/>
        <v>3</v>
      </c>
      <c r="V16" s="1059">
        <f t="shared" si="0"/>
        <v>7</v>
      </c>
      <c r="W16" s="1054">
        <f t="shared" si="1"/>
        <v>2.2958346999016072E-3</v>
      </c>
    </row>
    <row r="17" spans="1:23" x14ac:dyDescent="0.25">
      <c r="A17" s="1095" t="s">
        <v>491</v>
      </c>
      <c r="B17" s="1056">
        <v>0</v>
      </c>
      <c r="C17" s="1060">
        <v>0</v>
      </c>
      <c r="D17" s="1057">
        <v>0</v>
      </c>
      <c r="E17" s="1060">
        <v>0</v>
      </c>
      <c r="F17" s="1057">
        <v>0</v>
      </c>
      <c r="G17" s="1060">
        <v>0</v>
      </c>
      <c r="H17" s="1057">
        <v>0</v>
      </c>
      <c r="I17" s="1061">
        <v>0</v>
      </c>
      <c r="J17" s="1062">
        <v>0</v>
      </c>
      <c r="K17" s="1063">
        <v>0</v>
      </c>
      <c r="L17" s="1056">
        <v>0</v>
      </c>
      <c r="M17" s="1060">
        <v>0</v>
      </c>
      <c r="N17" s="1056">
        <v>0</v>
      </c>
      <c r="O17" s="1060">
        <v>0</v>
      </c>
      <c r="P17" s="1056">
        <v>0</v>
      </c>
      <c r="Q17" s="1061">
        <v>0</v>
      </c>
      <c r="R17" s="1056">
        <v>0</v>
      </c>
      <c r="S17" s="1064">
        <v>0</v>
      </c>
      <c r="T17" s="1052">
        <f t="shared" si="5"/>
        <v>0</v>
      </c>
      <c r="U17" s="1045">
        <f t="shared" si="5"/>
        <v>0</v>
      </c>
      <c r="V17" s="1059">
        <f t="shared" si="0"/>
        <v>0</v>
      </c>
      <c r="W17" s="1054">
        <f t="shared" si="1"/>
        <v>0</v>
      </c>
    </row>
    <row r="18" spans="1:23" x14ac:dyDescent="0.25">
      <c r="A18" s="1055" t="s">
        <v>943</v>
      </c>
      <c r="B18" s="1056">
        <f t="shared" ref="B18:S18" si="6">SUM(B15:B17)</f>
        <v>0</v>
      </c>
      <c r="C18" s="1063">
        <f t="shared" si="6"/>
        <v>0</v>
      </c>
      <c r="D18" s="1056">
        <f t="shared" si="6"/>
        <v>2</v>
      </c>
      <c r="E18" s="1063">
        <f t="shared" si="6"/>
        <v>0</v>
      </c>
      <c r="F18" s="1056">
        <f t="shared" si="6"/>
        <v>0</v>
      </c>
      <c r="G18" s="1063">
        <f t="shared" si="6"/>
        <v>0</v>
      </c>
      <c r="H18" s="1056">
        <f t="shared" si="6"/>
        <v>0</v>
      </c>
      <c r="I18" s="1063">
        <f t="shared" si="6"/>
        <v>0</v>
      </c>
      <c r="J18" s="1056">
        <f>SUM(J15:J17)</f>
        <v>0</v>
      </c>
      <c r="K18" s="1063">
        <f>SUM(K15:K17)</f>
        <v>0</v>
      </c>
      <c r="L18" s="1056">
        <f t="shared" si="6"/>
        <v>0</v>
      </c>
      <c r="M18" s="1063">
        <f t="shared" si="6"/>
        <v>0</v>
      </c>
      <c r="N18" s="1056">
        <f t="shared" si="6"/>
        <v>2</v>
      </c>
      <c r="O18" s="1063">
        <f t="shared" si="6"/>
        <v>3</v>
      </c>
      <c r="P18" s="1056">
        <f t="shared" si="6"/>
        <v>0</v>
      </c>
      <c r="Q18" s="1063">
        <f t="shared" si="6"/>
        <v>0</v>
      </c>
      <c r="R18" s="1056">
        <f t="shared" si="6"/>
        <v>0</v>
      </c>
      <c r="S18" s="1065">
        <f t="shared" si="6"/>
        <v>0</v>
      </c>
      <c r="T18" s="1058">
        <f>SUM(T15:T17)</f>
        <v>4</v>
      </c>
      <c r="U18" s="1063">
        <f>SUM(U15:U17)</f>
        <v>3</v>
      </c>
      <c r="V18" s="1060">
        <f t="shared" si="0"/>
        <v>7</v>
      </c>
      <c r="W18" s="1054">
        <f t="shared" si="1"/>
        <v>2.2958346999016072E-3</v>
      </c>
    </row>
    <row r="19" spans="1:23" ht="15" customHeight="1" x14ac:dyDescent="0.25">
      <c r="A19" s="838" t="s">
        <v>944</v>
      </c>
      <c r="B19" s="140">
        <f t="shared" ref="B19:S19" si="7">B14+B18</f>
        <v>48</v>
      </c>
      <c r="C19" s="139">
        <f t="shared" si="7"/>
        <v>29</v>
      </c>
      <c r="D19" s="138">
        <f t="shared" si="7"/>
        <v>217</v>
      </c>
      <c r="E19" s="139">
        <f t="shared" si="7"/>
        <v>727</v>
      </c>
      <c r="F19" s="138">
        <f t="shared" si="7"/>
        <v>0</v>
      </c>
      <c r="G19" s="139">
        <f t="shared" si="7"/>
        <v>7</v>
      </c>
      <c r="H19" s="138">
        <f t="shared" si="7"/>
        <v>7</v>
      </c>
      <c r="I19" s="1014">
        <f t="shared" si="7"/>
        <v>3</v>
      </c>
      <c r="J19" s="138">
        <f t="shared" si="7"/>
        <v>4</v>
      </c>
      <c r="K19" s="1014">
        <f t="shared" si="7"/>
        <v>1</v>
      </c>
      <c r="L19" s="140">
        <f t="shared" si="7"/>
        <v>16</v>
      </c>
      <c r="M19" s="139">
        <f t="shared" si="7"/>
        <v>18</v>
      </c>
      <c r="N19" s="140">
        <f t="shared" si="7"/>
        <v>525</v>
      </c>
      <c r="O19" s="139">
        <f t="shared" si="7"/>
        <v>1018</v>
      </c>
      <c r="P19" s="140">
        <f t="shared" si="7"/>
        <v>13</v>
      </c>
      <c r="Q19" s="1014">
        <f t="shared" si="7"/>
        <v>28</v>
      </c>
      <c r="R19" s="140">
        <f t="shared" si="7"/>
        <v>14</v>
      </c>
      <c r="S19" s="141">
        <f t="shared" si="7"/>
        <v>38</v>
      </c>
      <c r="T19" s="739">
        <f>+B19+D19+F19+H19+J19+L19+N19+P19+R19</f>
        <v>844</v>
      </c>
      <c r="U19" s="1066">
        <f>+C19+E19+G19+I19+K19+M19+O19+Q19+S19</f>
        <v>1869</v>
      </c>
      <c r="V19" s="142">
        <f t="shared" si="0"/>
        <v>2713</v>
      </c>
      <c r="W19" s="1067">
        <f t="shared" si="1"/>
        <v>0.88979993440472283</v>
      </c>
    </row>
    <row r="20" spans="1:23" ht="30" customHeight="1" x14ac:dyDescent="0.25">
      <c r="A20" s="837" t="s">
        <v>945</v>
      </c>
      <c r="B20" s="364"/>
      <c r="C20" s="363"/>
      <c r="D20" s="362"/>
      <c r="E20" s="363"/>
      <c r="F20" s="362"/>
      <c r="G20" s="363"/>
      <c r="H20" s="362"/>
      <c r="I20" s="1013"/>
      <c r="J20" s="1043"/>
      <c r="K20" s="1013"/>
      <c r="L20" s="364"/>
      <c r="M20" s="363"/>
      <c r="N20" s="364"/>
      <c r="O20" s="363"/>
      <c r="P20" s="364"/>
      <c r="Q20" s="1015"/>
      <c r="R20" s="364"/>
      <c r="S20" s="387"/>
      <c r="T20" s="757"/>
      <c r="U20" s="363"/>
      <c r="V20" s="363"/>
      <c r="W20" s="363"/>
    </row>
    <row r="21" spans="1:23" x14ac:dyDescent="0.25">
      <c r="A21" s="1044" t="s">
        <v>689</v>
      </c>
      <c r="B21" s="1045">
        <v>0</v>
      </c>
      <c r="C21" s="1046">
        <v>0</v>
      </c>
      <c r="D21" s="1047">
        <v>1</v>
      </c>
      <c r="E21" s="1046">
        <v>0</v>
      </c>
      <c r="F21" s="1047">
        <v>0</v>
      </c>
      <c r="G21" s="1046">
        <v>0</v>
      </c>
      <c r="H21" s="1047">
        <v>0</v>
      </c>
      <c r="I21" s="1050">
        <v>0</v>
      </c>
      <c r="J21" s="1049">
        <v>0</v>
      </c>
      <c r="K21" s="1048">
        <v>0</v>
      </c>
      <c r="L21" s="1045">
        <v>0</v>
      </c>
      <c r="M21" s="1046">
        <v>0</v>
      </c>
      <c r="N21" s="1045">
        <v>0</v>
      </c>
      <c r="O21" s="1046">
        <v>1</v>
      </c>
      <c r="P21" s="1045">
        <v>0</v>
      </c>
      <c r="Q21" s="1050">
        <v>0</v>
      </c>
      <c r="R21" s="1045">
        <v>0</v>
      </c>
      <c r="S21" s="1068">
        <v>0</v>
      </c>
      <c r="T21" s="1052">
        <f>+B21+D21+F21+H21+J21+L21+N21+P21+R21</f>
        <v>1</v>
      </c>
      <c r="U21" s="1045">
        <f>+C21+E21+G21+I21+K21+M21+O21+Q21+S21</f>
        <v>1</v>
      </c>
      <c r="V21" s="1053">
        <f t="shared" ref="V21:V27" si="8">T21+U21</f>
        <v>2</v>
      </c>
      <c r="W21" s="1054">
        <f t="shared" ref="W21:W33" si="9">V21/$V$34</f>
        <v>6.5595277140045915E-4</v>
      </c>
    </row>
    <row r="22" spans="1:23" x14ac:dyDescent="0.25">
      <c r="A22" s="1044" t="s">
        <v>690</v>
      </c>
      <c r="B22" s="1045">
        <v>0</v>
      </c>
      <c r="C22" s="1046">
        <v>0</v>
      </c>
      <c r="D22" s="1047">
        <v>0</v>
      </c>
      <c r="E22" s="1046">
        <v>1</v>
      </c>
      <c r="F22" s="1047">
        <v>0</v>
      </c>
      <c r="G22" s="1046">
        <v>0</v>
      </c>
      <c r="H22" s="1047">
        <v>0</v>
      </c>
      <c r="I22" s="1050">
        <v>0</v>
      </c>
      <c r="J22" s="1049">
        <v>0</v>
      </c>
      <c r="K22" s="1048">
        <v>0</v>
      </c>
      <c r="L22" s="1045">
        <v>0</v>
      </c>
      <c r="M22" s="1046">
        <v>0</v>
      </c>
      <c r="N22" s="1045">
        <v>1</v>
      </c>
      <c r="O22" s="1046">
        <v>3</v>
      </c>
      <c r="P22" s="1045">
        <v>0</v>
      </c>
      <c r="Q22" s="1050">
        <v>0</v>
      </c>
      <c r="R22" s="1045">
        <v>0</v>
      </c>
      <c r="S22" s="1068">
        <v>0</v>
      </c>
      <c r="T22" s="1052">
        <f>+B22+D22+F22+H22+J22+L22+N22+P22+R22</f>
        <v>1</v>
      </c>
      <c r="U22" s="1045">
        <f>+C22+E22+G22+I22+K22+M22+O22+Q22+S22</f>
        <v>4</v>
      </c>
      <c r="V22" s="1053">
        <f t="shared" si="8"/>
        <v>5</v>
      </c>
      <c r="W22" s="1054">
        <f t="shared" si="9"/>
        <v>1.6398819285011479E-3</v>
      </c>
    </row>
    <row r="23" spans="1:23" x14ac:dyDescent="0.25">
      <c r="A23" s="1044" t="s">
        <v>691</v>
      </c>
      <c r="B23" s="1045">
        <f>+B22+B21</f>
        <v>0</v>
      </c>
      <c r="C23" s="1046">
        <f t="shared" ref="C23:S23" si="10">+C22+C21</f>
        <v>0</v>
      </c>
      <c r="D23" s="1045">
        <f t="shared" si="10"/>
        <v>1</v>
      </c>
      <c r="E23" s="1048">
        <f t="shared" si="10"/>
        <v>1</v>
      </c>
      <c r="F23" s="1045">
        <f t="shared" si="10"/>
        <v>0</v>
      </c>
      <c r="G23" s="1046">
        <f t="shared" si="10"/>
        <v>0</v>
      </c>
      <c r="H23" s="1047">
        <f t="shared" si="10"/>
        <v>0</v>
      </c>
      <c r="I23" s="1050">
        <f t="shared" si="10"/>
        <v>0</v>
      </c>
      <c r="J23" s="1047">
        <f t="shared" si="10"/>
        <v>0</v>
      </c>
      <c r="K23" s="1050">
        <f t="shared" si="10"/>
        <v>0</v>
      </c>
      <c r="L23" s="1045">
        <f t="shared" si="10"/>
        <v>0</v>
      </c>
      <c r="M23" s="1046">
        <f t="shared" si="10"/>
        <v>0</v>
      </c>
      <c r="N23" s="1047">
        <f t="shared" si="10"/>
        <v>1</v>
      </c>
      <c r="O23" s="1046">
        <f t="shared" si="10"/>
        <v>4</v>
      </c>
      <c r="P23" s="1047">
        <f t="shared" si="10"/>
        <v>0</v>
      </c>
      <c r="Q23" s="1050">
        <f t="shared" si="10"/>
        <v>0</v>
      </c>
      <c r="R23" s="1045">
        <f t="shared" si="10"/>
        <v>0</v>
      </c>
      <c r="S23" s="1068">
        <f t="shared" si="10"/>
        <v>0</v>
      </c>
      <c r="T23" s="1052">
        <f>B23+D23+F23+H23+L23+N23+R23</f>
        <v>2</v>
      </c>
      <c r="U23" s="1045">
        <f>C23+E23+G23+I23+M23+O23+S23+Q23</f>
        <v>5</v>
      </c>
      <c r="V23" s="1053">
        <f t="shared" si="8"/>
        <v>7</v>
      </c>
      <c r="W23" s="1054">
        <f t="shared" si="9"/>
        <v>2.2958346999016072E-3</v>
      </c>
    </row>
    <row r="24" spans="1:23" x14ac:dyDescent="0.25">
      <c r="A24" s="1044" t="s">
        <v>936</v>
      </c>
      <c r="B24" s="1045">
        <v>0</v>
      </c>
      <c r="C24" s="1046">
        <v>0</v>
      </c>
      <c r="D24" s="1047">
        <v>2</v>
      </c>
      <c r="E24" s="1046">
        <v>6</v>
      </c>
      <c r="F24" s="1047">
        <v>0</v>
      </c>
      <c r="G24" s="1046">
        <v>0</v>
      </c>
      <c r="H24" s="1047">
        <v>0</v>
      </c>
      <c r="I24" s="1050">
        <v>0</v>
      </c>
      <c r="J24" s="1049">
        <v>0</v>
      </c>
      <c r="K24" s="1048">
        <v>0</v>
      </c>
      <c r="L24" s="1045">
        <v>0</v>
      </c>
      <c r="M24" s="1046">
        <v>0</v>
      </c>
      <c r="N24" s="1045">
        <v>3</v>
      </c>
      <c r="O24" s="1046">
        <v>5</v>
      </c>
      <c r="P24" s="1045">
        <v>0</v>
      </c>
      <c r="Q24" s="1050">
        <v>1</v>
      </c>
      <c r="R24" s="1045">
        <v>1</v>
      </c>
      <c r="S24" s="1068">
        <v>0</v>
      </c>
      <c r="T24" s="1052">
        <f t="shared" ref="T24:U27" si="11">+B24+D24+F24+H24+J24+L24+N24+P24+R24</f>
        <v>6</v>
      </c>
      <c r="U24" s="1045">
        <f t="shared" si="11"/>
        <v>12</v>
      </c>
      <c r="V24" s="1053">
        <f t="shared" si="8"/>
        <v>18</v>
      </c>
      <c r="W24" s="1054">
        <f t="shared" si="9"/>
        <v>5.9035749426041327E-3</v>
      </c>
    </row>
    <row r="25" spans="1:23" x14ac:dyDescent="0.25">
      <c r="A25" s="1044" t="s">
        <v>937</v>
      </c>
      <c r="B25" s="1045">
        <v>0</v>
      </c>
      <c r="C25" s="1046">
        <v>0</v>
      </c>
      <c r="D25" s="1047">
        <v>1</v>
      </c>
      <c r="E25" s="1046">
        <v>5</v>
      </c>
      <c r="F25" s="1047">
        <v>0</v>
      </c>
      <c r="G25" s="1046">
        <v>0</v>
      </c>
      <c r="H25" s="1047">
        <v>0</v>
      </c>
      <c r="I25" s="1050">
        <v>0</v>
      </c>
      <c r="J25" s="1049">
        <v>0</v>
      </c>
      <c r="K25" s="1048">
        <v>0</v>
      </c>
      <c r="L25" s="1045">
        <v>0</v>
      </c>
      <c r="M25" s="1046">
        <v>0</v>
      </c>
      <c r="N25" s="1045">
        <v>7</v>
      </c>
      <c r="O25" s="1046">
        <v>17</v>
      </c>
      <c r="P25" s="1045">
        <v>0</v>
      </c>
      <c r="Q25" s="1050">
        <v>1</v>
      </c>
      <c r="R25" s="1045">
        <v>0</v>
      </c>
      <c r="S25" s="1068">
        <v>1</v>
      </c>
      <c r="T25" s="1052">
        <f t="shared" si="11"/>
        <v>8</v>
      </c>
      <c r="U25" s="1045">
        <f t="shared" si="11"/>
        <v>24</v>
      </c>
      <c r="V25" s="1053">
        <f t="shared" si="8"/>
        <v>32</v>
      </c>
      <c r="W25" s="1054">
        <f t="shared" si="9"/>
        <v>1.0495244342407346E-2</v>
      </c>
    </row>
    <row r="26" spans="1:23" x14ac:dyDescent="0.25">
      <c r="A26" s="1044" t="s">
        <v>938</v>
      </c>
      <c r="B26" s="1045">
        <v>1</v>
      </c>
      <c r="C26" s="1046">
        <v>1</v>
      </c>
      <c r="D26" s="1047">
        <v>9</v>
      </c>
      <c r="E26" s="1046">
        <v>19</v>
      </c>
      <c r="F26" s="1047">
        <v>1</v>
      </c>
      <c r="G26" s="1046">
        <v>1</v>
      </c>
      <c r="H26" s="1047">
        <v>1</v>
      </c>
      <c r="I26" s="1050">
        <v>0</v>
      </c>
      <c r="J26" s="1049">
        <v>0</v>
      </c>
      <c r="K26" s="1048">
        <v>1</v>
      </c>
      <c r="L26" s="1045">
        <v>1</v>
      </c>
      <c r="M26" s="1046">
        <v>2</v>
      </c>
      <c r="N26" s="1045">
        <v>24</v>
      </c>
      <c r="O26" s="1046">
        <v>60</v>
      </c>
      <c r="P26" s="1045">
        <v>3</v>
      </c>
      <c r="Q26" s="1050">
        <v>18</v>
      </c>
      <c r="R26" s="1045">
        <v>0</v>
      </c>
      <c r="S26" s="1068">
        <v>0</v>
      </c>
      <c r="T26" s="1052">
        <f t="shared" si="11"/>
        <v>40</v>
      </c>
      <c r="U26" s="1045">
        <f t="shared" si="11"/>
        <v>102</v>
      </c>
      <c r="V26" s="1053">
        <f t="shared" si="8"/>
        <v>142</v>
      </c>
      <c r="W26" s="1054">
        <f t="shared" si="9"/>
        <v>4.6572646769432603E-2</v>
      </c>
    </row>
    <row r="27" spans="1:23" x14ac:dyDescent="0.25">
      <c r="A27" s="1044" t="s">
        <v>939</v>
      </c>
      <c r="B27" s="1045">
        <v>0</v>
      </c>
      <c r="C27" s="1046">
        <v>0</v>
      </c>
      <c r="D27" s="1047">
        <v>0</v>
      </c>
      <c r="E27" s="1046">
        <v>2</v>
      </c>
      <c r="F27" s="1047">
        <v>0</v>
      </c>
      <c r="G27" s="1046">
        <v>0</v>
      </c>
      <c r="H27" s="1047">
        <v>0</v>
      </c>
      <c r="I27" s="1050">
        <v>0</v>
      </c>
      <c r="J27" s="1049">
        <v>0</v>
      </c>
      <c r="K27" s="1048">
        <v>1</v>
      </c>
      <c r="L27" s="1045">
        <v>0</v>
      </c>
      <c r="M27" s="1046">
        <v>0</v>
      </c>
      <c r="N27" s="1045">
        <v>6</v>
      </c>
      <c r="O27" s="1046">
        <v>14</v>
      </c>
      <c r="P27" s="1045">
        <v>13</v>
      </c>
      <c r="Q27" s="1050">
        <v>28</v>
      </c>
      <c r="R27" s="1045">
        <v>0</v>
      </c>
      <c r="S27" s="1068">
        <v>0</v>
      </c>
      <c r="T27" s="1052">
        <f t="shared" si="11"/>
        <v>19</v>
      </c>
      <c r="U27" s="1045">
        <f t="shared" si="11"/>
        <v>45</v>
      </c>
      <c r="V27" s="1053">
        <f t="shared" si="8"/>
        <v>64</v>
      </c>
      <c r="W27" s="1054">
        <f t="shared" si="9"/>
        <v>2.0990488684814693E-2</v>
      </c>
    </row>
    <row r="28" spans="1:23" x14ac:dyDescent="0.25">
      <c r="A28" s="1055" t="s">
        <v>940</v>
      </c>
      <c r="B28" s="1057">
        <f t="shared" ref="B28:S28" si="12">SUM(B23:B27)</f>
        <v>1</v>
      </c>
      <c r="C28" s="1046">
        <f t="shared" si="12"/>
        <v>1</v>
      </c>
      <c r="D28" s="1057">
        <f t="shared" si="12"/>
        <v>13</v>
      </c>
      <c r="E28" s="1046">
        <f t="shared" si="12"/>
        <v>33</v>
      </c>
      <c r="F28" s="1057">
        <f t="shared" si="12"/>
        <v>1</v>
      </c>
      <c r="G28" s="1046">
        <f t="shared" si="12"/>
        <v>1</v>
      </c>
      <c r="H28" s="1057">
        <f t="shared" si="12"/>
        <v>1</v>
      </c>
      <c r="I28" s="1050">
        <f t="shared" si="12"/>
        <v>0</v>
      </c>
      <c r="J28" s="1057">
        <f t="shared" si="12"/>
        <v>0</v>
      </c>
      <c r="K28" s="1050">
        <f t="shared" si="12"/>
        <v>2</v>
      </c>
      <c r="L28" s="1056">
        <f t="shared" si="12"/>
        <v>1</v>
      </c>
      <c r="M28" s="1046">
        <f t="shared" si="12"/>
        <v>2</v>
      </c>
      <c r="N28" s="1057">
        <f t="shared" si="12"/>
        <v>41</v>
      </c>
      <c r="O28" s="1046">
        <f t="shared" si="12"/>
        <v>100</v>
      </c>
      <c r="P28" s="1057">
        <f t="shared" si="12"/>
        <v>16</v>
      </c>
      <c r="Q28" s="1050">
        <f t="shared" si="12"/>
        <v>48</v>
      </c>
      <c r="R28" s="1056">
        <f t="shared" si="12"/>
        <v>1</v>
      </c>
      <c r="S28" s="1068">
        <f t="shared" si="12"/>
        <v>1</v>
      </c>
      <c r="T28" s="1058">
        <f>SUM(T23:T27)</f>
        <v>75</v>
      </c>
      <c r="U28" s="1063">
        <f>SUM(U23:U27)</f>
        <v>188</v>
      </c>
      <c r="V28" s="1069">
        <f>+U28+T28</f>
        <v>263</v>
      </c>
      <c r="W28" s="1054">
        <f t="shared" si="9"/>
        <v>8.6257789439160376E-2</v>
      </c>
    </row>
    <row r="29" spans="1:23" x14ac:dyDescent="0.25">
      <c r="A29" s="1055" t="s">
        <v>490</v>
      </c>
      <c r="B29" s="1056">
        <v>1</v>
      </c>
      <c r="C29" s="1046">
        <v>0</v>
      </c>
      <c r="D29" s="1057">
        <v>0</v>
      </c>
      <c r="E29" s="1046">
        <v>0</v>
      </c>
      <c r="F29" s="1057">
        <v>0</v>
      </c>
      <c r="G29" s="1046">
        <v>0</v>
      </c>
      <c r="H29" s="1057">
        <v>1</v>
      </c>
      <c r="I29" s="1050">
        <v>0</v>
      </c>
      <c r="J29" s="1049">
        <v>0</v>
      </c>
      <c r="K29" s="1048">
        <v>0</v>
      </c>
      <c r="L29" s="1056">
        <v>0</v>
      </c>
      <c r="M29" s="1046">
        <v>0</v>
      </c>
      <c r="N29" s="1056">
        <v>0</v>
      </c>
      <c r="O29" s="1046">
        <v>7</v>
      </c>
      <c r="P29" s="1056">
        <v>0</v>
      </c>
      <c r="Q29" s="1050">
        <v>0</v>
      </c>
      <c r="R29" s="1056">
        <v>0</v>
      </c>
      <c r="S29" s="1068">
        <v>0</v>
      </c>
      <c r="T29" s="1052">
        <f t="shared" ref="T29:U31" si="13">+B29+D29+F29+H29+J29+L29+N29+P29+R29</f>
        <v>2</v>
      </c>
      <c r="U29" s="1050">
        <f t="shared" si="13"/>
        <v>7</v>
      </c>
      <c r="V29" s="1069">
        <f>+U29+T29</f>
        <v>9</v>
      </c>
      <c r="W29" s="1054">
        <f t="shared" si="9"/>
        <v>2.9517874713020664E-3</v>
      </c>
    </row>
    <row r="30" spans="1:23" x14ac:dyDescent="0.25">
      <c r="A30" s="1044" t="s">
        <v>491</v>
      </c>
      <c r="B30" s="1056">
        <v>0</v>
      </c>
      <c r="C30" s="1060">
        <v>0</v>
      </c>
      <c r="D30" s="1057">
        <v>0</v>
      </c>
      <c r="E30" s="1060">
        <v>1</v>
      </c>
      <c r="F30" s="1057">
        <v>0</v>
      </c>
      <c r="G30" s="1060">
        <v>0</v>
      </c>
      <c r="H30" s="1057">
        <v>0</v>
      </c>
      <c r="I30" s="1061">
        <v>0</v>
      </c>
      <c r="J30" s="1062">
        <v>0</v>
      </c>
      <c r="K30" s="1063">
        <v>0</v>
      </c>
      <c r="L30" s="1056">
        <v>0</v>
      </c>
      <c r="M30" s="1060">
        <v>0</v>
      </c>
      <c r="N30" s="1056">
        <v>0</v>
      </c>
      <c r="O30" s="1060">
        <v>20</v>
      </c>
      <c r="P30" s="1056">
        <v>0</v>
      </c>
      <c r="Q30" s="1061">
        <v>1</v>
      </c>
      <c r="R30" s="1056">
        <v>0</v>
      </c>
      <c r="S30" s="1070">
        <v>0</v>
      </c>
      <c r="T30" s="1052">
        <f t="shared" si="13"/>
        <v>0</v>
      </c>
      <c r="U30" s="1050">
        <f t="shared" si="13"/>
        <v>22</v>
      </c>
      <c r="V30" s="1060">
        <f>T30+U30</f>
        <v>22</v>
      </c>
      <c r="W30" s="1054">
        <f t="shared" si="9"/>
        <v>7.215480485405051E-3</v>
      </c>
    </row>
    <row r="31" spans="1:23" x14ac:dyDescent="0.25">
      <c r="A31" s="1044" t="s">
        <v>947</v>
      </c>
      <c r="B31" s="1056">
        <v>0</v>
      </c>
      <c r="C31" s="1060">
        <v>0</v>
      </c>
      <c r="D31" s="1057">
        <v>0</v>
      </c>
      <c r="E31" s="1060">
        <v>4</v>
      </c>
      <c r="F31" s="1057">
        <v>0</v>
      </c>
      <c r="G31" s="1060">
        <v>1</v>
      </c>
      <c r="H31" s="1057">
        <v>0</v>
      </c>
      <c r="I31" s="1061">
        <v>0</v>
      </c>
      <c r="J31" s="1062">
        <v>0</v>
      </c>
      <c r="K31" s="1063">
        <v>0</v>
      </c>
      <c r="L31" s="1056">
        <v>0</v>
      </c>
      <c r="M31" s="1060">
        <v>0</v>
      </c>
      <c r="N31" s="1056">
        <v>3</v>
      </c>
      <c r="O31" s="1060">
        <v>26</v>
      </c>
      <c r="P31" s="1056">
        <v>1</v>
      </c>
      <c r="Q31" s="1061">
        <v>6</v>
      </c>
      <c r="R31" s="1056">
        <v>0</v>
      </c>
      <c r="S31" s="1070">
        <v>1</v>
      </c>
      <c r="T31" s="1052">
        <f t="shared" si="13"/>
        <v>4</v>
      </c>
      <c r="U31" s="1050">
        <f t="shared" si="13"/>
        <v>38</v>
      </c>
      <c r="V31" s="1060">
        <f>T31+U31</f>
        <v>42</v>
      </c>
      <c r="W31" s="1054">
        <f t="shared" si="9"/>
        <v>1.3775008199409643E-2</v>
      </c>
    </row>
    <row r="32" spans="1:23" x14ac:dyDescent="0.25">
      <c r="A32" s="1055" t="s">
        <v>943</v>
      </c>
      <c r="B32" s="1056">
        <f t="shared" ref="B32:U32" si="14">SUM(B29:B31)</f>
        <v>1</v>
      </c>
      <c r="C32" s="1060">
        <f t="shared" si="14"/>
        <v>0</v>
      </c>
      <c r="D32" s="1056">
        <f t="shared" si="14"/>
        <v>0</v>
      </c>
      <c r="E32" s="1060">
        <f t="shared" si="14"/>
        <v>5</v>
      </c>
      <c r="F32" s="1056">
        <f t="shared" si="14"/>
        <v>0</v>
      </c>
      <c r="G32" s="1060">
        <f t="shared" si="14"/>
        <v>1</v>
      </c>
      <c r="H32" s="1056">
        <f t="shared" si="14"/>
        <v>1</v>
      </c>
      <c r="I32" s="1061">
        <f t="shared" si="14"/>
        <v>0</v>
      </c>
      <c r="J32" s="1056">
        <f>SUM(J29:J31)</f>
        <v>0</v>
      </c>
      <c r="K32" s="1061">
        <f>SUM(K29:K31)</f>
        <v>0</v>
      </c>
      <c r="L32" s="1056">
        <f t="shared" si="14"/>
        <v>0</v>
      </c>
      <c r="M32" s="1060">
        <f t="shared" si="14"/>
        <v>0</v>
      </c>
      <c r="N32" s="1056">
        <f t="shared" si="14"/>
        <v>3</v>
      </c>
      <c r="O32" s="1060">
        <f t="shared" si="14"/>
        <v>53</v>
      </c>
      <c r="P32" s="1056">
        <f t="shared" si="14"/>
        <v>1</v>
      </c>
      <c r="Q32" s="1061">
        <f t="shared" si="14"/>
        <v>7</v>
      </c>
      <c r="R32" s="1056">
        <f t="shared" si="14"/>
        <v>0</v>
      </c>
      <c r="S32" s="1071">
        <f t="shared" si="14"/>
        <v>1</v>
      </c>
      <c r="T32" s="1052">
        <f t="shared" si="14"/>
        <v>6</v>
      </c>
      <c r="U32" s="1061">
        <f t="shared" si="14"/>
        <v>67</v>
      </c>
      <c r="V32" s="1060">
        <f>T32+U32</f>
        <v>73</v>
      </c>
      <c r="W32" s="1054">
        <f t="shared" si="9"/>
        <v>2.394227615611676E-2</v>
      </c>
    </row>
    <row r="33" spans="1:23" ht="15" customHeight="1" x14ac:dyDescent="0.25">
      <c r="A33" s="838" t="s">
        <v>948</v>
      </c>
      <c r="B33" s="140">
        <f t="shared" ref="B33:S33" si="15">B28+B32</f>
        <v>2</v>
      </c>
      <c r="C33" s="139">
        <f t="shared" si="15"/>
        <v>1</v>
      </c>
      <c r="D33" s="138">
        <f t="shared" si="15"/>
        <v>13</v>
      </c>
      <c r="E33" s="139">
        <f t="shared" si="15"/>
        <v>38</v>
      </c>
      <c r="F33" s="138">
        <f t="shared" si="15"/>
        <v>1</v>
      </c>
      <c r="G33" s="139">
        <f t="shared" si="15"/>
        <v>2</v>
      </c>
      <c r="H33" s="138">
        <f t="shared" si="15"/>
        <v>2</v>
      </c>
      <c r="I33" s="1014">
        <f t="shared" si="15"/>
        <v>0</v>
      </c>
      <c r="J33" s="138">
        <f t="shared" si="15"/>
        <v>0</v>
      </c>
      <c r="K33" s="1014">
        <f t="shared" si="15"/>
        <v>2</v>
      </c>
      <c r="L33" s="140">
        <f t="shared" si="15"/>
        <v>1</v>
      </c>
      <c r="M33" s="139">
        <f t="shared" si="15"/>
        <v>2</v>
      </c>
      <c r="N33" s="140">
        <f t="shared" si="15"/>
        <v>44</v>
      </c>
      <c r="O33" s="139">
        <f t="shared" si="15"/>
        <v>153</v>
      </c>
      <c r="P33" s="140">
        <f t="shared" si="15"/>
        <v>17</v>
      </c>
      <c r="Q33" s="1014">
        <f t="shared" si="15"/>
        <v>55</v>
      </c>
      <c r="R33" s="140">
        <f t="shared" si="15"/>
        <v>1</v>
      </c>
      <c r="S33" s="393">
        <f t="shared" si="15"/>
        <v>2</v>
      </c>
      <c r="T33" s="739">
        <f>+B33+D33+F33+H33+J33+L33+N33+P33+R33</f>
        <v>81</v>
      </c>
      <c r="U33" s="1072">
        <f>+C33+E33+G33+I33+K33+M33+O33+Q33+S33</f>
        <v>255</v>
      </c>
      <c r="V33" s="139">
        <f>T33+U33</f>
        <v>336</v>
      </c>
      <c r="W33" s="1067">
        <f t="shared" si="9"/>
        <v>0.11020006559527715</v>
      </c>
    </row>
    <row r="34" spans="1:23" ht="30" customHeight="1" thickBot="1" x14ac:dyDescent="0.3">
      <c r="A34" s="839" t="s">
        <v>949</v>
      </c>
      <c r="B34" s="840">
        <f t="shared" ref="B34:S34" si="16">B19+B33</f>
        <v>50</v>
      </c>
      <c r="C34" s="841">
        <f t="shared" si="16"/>
        <v>30</v>
      </c>
      <c r="D34" s="842">
        <f t="shared" si="16"/>
        <v>230</v>
      </c>
      <c r="E34" s="841">
        <f t="shared" si="16"/>
        <v>765</v>
      </c>
      <c r="F34" s="842">
        <f t="shared" si="16"/>
        <v>1</v>
      </c>
      <c r="G34" s="841">
        <f t="shared" si="16"/>
        <v>9</v>
      </c>
      <c r="H34" s="842">
        <f t="shared" si="16"/>
        <v>9</v>
      </c>
      <c r="I34" s="1016">
        <f t="shared" si="16"/>
        <v>3</v>
      </c>
      <c r="J34" s="842">
        <f t="shared" si="16"/>
        <v>4</v>
      </c>
      <c r="K34" s="1016">
        <f t="shared" si="16"/>
        <v>3</v>
      </c>
      <c r="L34" s="840">
        <f t="shared" si="16"/>
        <v>17</v>
      </c>
      <c r="M34" s="841">
        <f t="shared" si="16"/>
        <v>20</v>
      </c>
      <c r="N34" s="840">
        <f t="shared" si="16"/>
        <v>569</v>
      </c>
      <c r="O34" s="841">
        <f t="shared" si="16"/>
        <v>1171</v>
      </c>
      <c r="P34" s="840">
        <f t="shared" si="16"/>
        <v>30</v>
      </c>
      <c r="Q34" s="1016">
        <f t="shared" si="16"/>
        <v>83</v>
      </c>
      <c r="R34" s="840">
        <f t="shared" si="16"/>
        <v>15</v>
      </c>
      <c r="S34" s="843">
        <f t="shared" si="16"/>
        <v>40</v>
      </c>
      <c r="T34" s="1073">
        <f>+B34+D34+F34+H34+J34+L34+N34+P34+R34</f>
        <v>925</v>
      </c>
      <c r="U34" s="1074">
        <f>+C34+E34+G34+I34+K34+M34+O34+Q34+S34</f>
        <v>2124</v>
      </c>
      <c r="V34" s="841">
        <f>T34+U34</f>
        <v>3049</v>
      </c>
      <c r="W34" s="1075">
        <f>+W33+W19</f>
        <v>1</v>
      </c>
    </row>
    <row r="35" spans="1:23" x14ac:dyDescent="0.25">
      <c r="A35" s="1076" t="s">
        <v>950</v>
      </c>
      <c r="B35" s="1076"/>
      <c r="C35" s="1076"/>
      <c r="D35" s="1076"/>
      <c r="E35" s="1076"/>
      <c r="F35" s="1076"/>
      <c r="G35" s="1076"/>
      <c r="H35" s="1076"/>
      <c r="I35" s="1077"/>
      <c r="J35" s="1077"/>
      <c r="K35" s="1077"/>
      <c r="L35" s="1077"/>
      <c r="M35" s="1077"/>
      <c r="N35" s="1077"/>
      <c r="O35" s="1077"/>
      <c r="P35" s="1077"/>
      <c r="Q35" s="1077"/>
      <c r="R35" s="1077"/>
      <c r="S35" s="1077"/>
      <c r="T35" s="1078"/>
      <c r="U35" s="1078"/>
      <c r="V35" s="1077"/>
      <c r="W35" s="1077"/>
    </row>
    <row r="36" spans="1:23" x14ac:dyDescent="0.25">
      <c r="B36" s="1077"/>
      <c r="C36" s="1077"/>
      <c r="D36" s="1350"/>
      <c r="E36" s="1077"/>
      <c r="F36" s="1077"/>
      <c r="G36" s="1077"/>
      <c r="H36" s="1077"/>
      <c r="I36" s="1077"/>
      <c r="J36" s="1077"/>
      <c r="K36" s="1077"/>
      <c r="L36" s="1077"/>
      <c r="M36" s="1077"/>
      <c r="N36" s="1077"/>
      <c r="O36" s="1077"/>
      <c r="P36" s="1077"/>
      <c r="Q36" s="1077"/>
      <c r="R36" s="1077"/>
      <c r="S36" s="1077"/>
      <c r="T36" s="1077"/>
      <c r="U36" s="1077"/>
      <c r="V36" s="1077"/>
      <c r="W36" s="1077"/>
    </row>
    <row r="37" spans="1:23" x14ac:dyDescent="0.25">
      <c r="B37" s="1077"/>
      <c r="C37" s="1077"/>
      <c r="D37" s="1077"/>
      <c r="E37" s="1077"/>
      <c r="F37" s="1077"/>
      <c r="G37" s="1077"/>
      <c r="H37" s="1077"/>
      <c r="I37" s="1077"/>
      <c r="J37" s="1077"/>
      <c r="K37" s="1077"/>
      <c r="L37" s="1077"/>
      <c r="M37" s="1077"/>
      <c r="N37" s="1077"/>
      <c r="O37" s="1077"/>
      <c r="P37" s="1077"/>
      <c r="Q37" s="1077"/>
      <c r="R37" s="1077"/>
      <c r="S37" s="1077"/>
      <c r="T37" s="1077"/>
      <c r="U37" s="1077"/>
      <c r="V37" s="1077"/>
      <c r="W37" s="1077"/>
    </row>
    <row r="38" spans="1:23" x14ac:dyDescent="0.25">
      <c r="B38" s="1077"/>
      <c r="C38" s="1077"/>
      <c r="D38" s="1077"/>
      <c r="E38" s="1077"/>
      <c r="F38" s="1077"/>
      <c r="G38" s="1077"/>
      <c r="H38" s="1077"/>
      <c r="I38" s="1077"/>
      <c r="J38" s="1077"/>
      <c r="K38" s="1077"/>
      <c r="L38" s="1077"/>
      <c r="M38" s="1077"/>
      <c r="N38" s="1077"/>
      <c r="O38" s="1077"/>
      <c r="P38" s="1077"/>
      <c r="Q38" s="1077"/>
      <c r="R38" s="1077"/>
      <c r="S38" s="1077"/>
      <c r="T38" s="1077"/>
      <c r="U38" s="1077"/>
      <c r="V38" s="1077"/>
      <c r="W38" s="1077"/>
    </row>
    <row r="39" spans="1:23" x14ac:dyDescent="0.25">
      <c r="B39" s="1077"/>
      <c r="C39" s="1077"/>
      <c r="D39" s="1077"/>
      <c r="E39" s="1077"/>
      <c r="F39" s="1077"/>
      <c r="G39" s="1077"/>
      <c r="H39" s="1077"/>
      <c r="I39" s="1077"/>
      <c r="J39" s="1077"/>
      <c r="K39" s="1077"/>
      <c r="L39" s="1077"/>
      <c r="M39" s="1077"/>
      <c r="N39" s="1077"/>
      <c r="O39" s="1077"/>
      <c r="P39" s="1077"/>
      <c r="Q39" s="1077"/>
      <c r="R39" s="1077"/>
      <c r="S39" s="1077"/>
      <c r="T39" s="1077"/>
      <c r="U39" s="1077"/>
      <c r="V39" s="1077"/>
      <c r="W39" s="1077"/>
    </row>
  </sheetData>
  <mergeCells count="8">
    <mergeCell ref="B3:C3"/>
    <mergeCell ref="F3:G3"/>
    <mergeCell ref="R3:S3"/>
    <mergeCell ref="F4:G4"/>
    <mergeCell ref="H4:I4"/>
    <mergeCell ref="J4:K4"/>
    <mergeCell ref="N4:O4"/>
    <mergeCell ref="P4:Q4"/>
  </mergeCells>
  <pageMargins left="0.7" right="0.7" top="0.75" bottom="0.75" header="0.3" footer="0.3"/>
  <pageSetup scale="61"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dimension ref="A1:AI136"/>
  <sheetViews>
    <sheetView zoomScale="60" zoomScaleNormal="60" workbookViewId="0">
      <selection sqref="A1:AD1"/>
    </sheetView>
  </sheetViews>
  <sheetFormatPr defaultColWidth="6.6640625" defaultRowHeight="13.2" x14ac:dyDescent="0.25"/>
  <cols>
    <col min="1" max="1" width="57.88671875" style="143" bestFit="1" customWidth="1"/>
    <col min="2" max="5" width="10.33203125" style="143" hidden="1" customWidth="1"/>
    <col min="6" max="8" width="10.33203125" style="143" customWidth="1"/>
    <col min="9" max="9" width="13" style="143" bestFit="1" customWidth="1"/>
    <col min="10" max="10" width="10.33203125" style="143" customWidth="1"/>
    <col min="11" max="11" width="11.33203125" style="143" bestFit="1" customWidth="1"/>
    <col min="12" max="13" width="10.33203125" style="143" customWidth="1"/>
    <col min="14" max="14" width="13" style="143" bestFit="1" customWidth="1"/>
    <col min="15" max="15" width="11.109375" style="143" customWidth="1"/>
    <col min="16" max="19" width="10.33203125" style="143" customWidth="1"/>
    <col min="20" max="20" width="11.109375" style="143" customWidth="1"/>
    <col min="21" max="23" width="10.33203125" style="143" customWidth="1"/>
    <col min="24" max="24" width="13" style="143" bestFit="1" customWidth="1"/>
    <col min="25" max="25" width="10.33203125" style="143" customWidth="1"/>
    <col min="26" max="26" width="11.33203125" style="143" bestFit="1" customWidth="1"/>
    <col min="27" max="29" width="10.33203125" style="143" customWidth="1"/>
    <col min="30" max="30" width="10.6640625" style="143" customWidth="1"/>
    <col min="31" max="31" width="10.33203125" style="143" customWidth="1"/>
    <col min="32" max="35" width="11.5546875" style="143" customWidth="1"/>
    <col min="36" max="16384" width="6.6640625" style="143"/>
  </cols>
  <sheetData>
    <row r="1" spans="1:35" ht="24.75" customHeight="1" x14ac:dyDescent="0.35">
      <c r="A1" s="1721" t="s">
        <v>951</v>
      </c>
      <c r="B1" s="1721"/>
      <c r="C1" s="1721"/>
      <c r="D1" s="1721"/>
      <c r="E1" s="1721"/>
      <c r="F1" s="1721"/>
      <c r="G1" s="1721"/>
      <c r="H1" s="1721"/>
      <c r="I1" s="1721"/>
      <c r="J1" s="1721"/>
      <c r="K1" s="1721"/>
      <c r="L1" s="1721"/>
      <c r="M1" s="1721"/>
      <c r="N1" s="1721"/>
      <c r="O1" s="1721"/>
      <c r="P1" s="1721"/>
      <c r="Q1" s="1721"/>
      <c r="R1" s="1721"/>
      <c r="S1" s="1721"/>
      <c r="T1" s="1721"/>
      <c r="U1" s="1721"/>
      <c r="V1" s="1721"/>
      <c r="W1" s="1721"/>
      <c r="X1" s="1721"/>
      <c r="Y1" s="1721"/>
      <c r="Z1" s="1721"/>
      <c r="AA1" s="1721"/>
      <c r="AB1" s="1721"/>
      <c r="AC1" s="1721"/>
      <c r="AD1" s="1721"/>
    </row>
    <row r="2" spans="1:35" ht="12.75" customHeight="1" thickBot="1" x14ac:dyDescent="0.3">
      <c r="A2" s="145"/>
      <c r="B2" s="147"/>
      <c r="C2" s="147"/>
      <c r="D2" s="147"/>
      <c r="E2" s="147"/>
      <c r="F2" s="147"/>
      <c r="G2" s="147"/>
      <c r="H2" s="147"/>
      <c r="I2" s="147"/>
      <c r="J2" s="147"/>
      <c r="K2" s="147"/>
      <c r="L2" s="147"/>
      <c r="M2" s="147"/>
      <c r="N2" s="328"/>
      <c r="O2" s="328"/>
      <c r="P2" s="147"/>
      <c r="Q2" s="147"/>
      <c r="R2" s="147"/>
      <c r="S2" s="328"/>
      <c r="T2" s="328"/>
      <c r="U2" s="147"/>
      <c r="V2" s="147"/>
      <c r="W2" s="147"/>
      <c r="X2" s="328"/>
      <c r="Y2" s="328"/>
      <c r="Z2" s="328"/>
      <c r="AA2" s="328"/>
      <c r="AB2" s="328"/>
      <c r="AC2" s="328"/>
      <c r="AD2" s="328"/>
      <c r="AE2" s="328"/>
      <c r="AF2" s="328"/>
      <c r="AG2" s="328"/>
      <c r="AH2" s="328"/>
      <c r="AI2" s="328"/>
    </row>
    <row r="3" spans="1:35" customFormat="1" ht="18" thickBot="1" x14ac:dyDescent="0.35">
      <c r="A3" s="1718" t="s">
        <v>419</v>
      </c>
      <c r="B3" s="1719"/>
      <c r="C3" s="1719"/>
      <c r="D3" s="1719"/>
      <c r="E3" s="1719"/>
      <c r="F3" s="1719"/>
      <c r="G3" s="1719"/>
      <c r="H3" s="1719"/>
      <c r="I3" s="1719"/>
      <c r="J3" s="1719"/>
      <c r="K3" s="1719"/>
      <c r="L3" s="1719"/>
      <c r="M3" s="1719"/>
      <c r="N3" s="1719"/>
      <c r="O3" s="1719"/>
      <c r="P3" s="1719"/>
      <c r="Q3" s="1719"/>
      <c r="R3" s="1719"/>
      <c r="S3" s="1719"/>
      <c r="T3" s="1719"/>
      <c r="U3" s="1719"/>
      <c r="V3" s="1719"/>
      <c r="W3" s="1719"/>
      <c r="X3" s="1719"/>
      <c r="Y3" s="1719"/>
      <c r="Z3" s="1719"/>
      <c r="AA3" s="1719"/>
      <c r="AB3" s="1719"/>
      <c r="AC3" s="1719"/>
      <c r="AD3" s="1720"/>
    </row>
    <row r="4" spans="1:35" ht="26.4" x14ac:dyDescent="0.25">
      <c r="A4" s="1723" t="s">
        <v>952</v>
      </c>
      <c r="B4" s="148" t="s">
        <v>954</v>
      </c>
      <c r="C4" s="148" t="s">
        <v>955</v>
      </c>
      <c r="D4" s="148" t="s">
        <v>956</v>
      </c>
      <c r="E4" s="820" t="s">
        <v>957</v>
      </c>
      <c r="F4" s="148" t="s">
        <v>954</v>
      </c>
      <c r="G4" s="148" t="s">
        <v>955</v>
      </c>
      <c r="H4" s="148" t="s">
        <v>956</v>
      </c>
      <c r="I4" s="150" t="s">
        <v>957</v>
      </c>
      <c r="J4" s="729" t="s">
        <v>958</v>
      </c>
      <c r="K4" s="148" t="s">
        <v>954</v>
      </c>
      <c r="L4" s="148" t="s">
        <v>955</v>
      </c>
      <c r="M4" s="148" t="s">
        <v>956</v>
      </c>
      <c r="N4" s="150" t="s">
        <v>957</v>
      </c>
      <c r="O4" s="750" t="s">
        <v>958</v>
      </c>
      <c r="P4" s="148" t="s">
        <v>954</v>
      </c>
      <c r="Q4" s="148" t="s">
        <v>955</v>
      </c>
      <c r="R4" s="148" t="s">
        <v>956</v>
      </c>
      <c r="S4" s="150" t="s">
        <v>957</v>
      </c>
      <c r="T4" s="1348" t="s">
        <v>958</v>
      </c>
      <c r="U4" s="148" t="s">
        <v>954</v>
      </c>
      <c r="V4" s="148" t="s">
        <v>955</v>
      </c>
      <c r="W4" s="148" t="s">
        <v>956</v>
      </c>
      <c r="X4" s="150" t="s">
        <v>957</v>
      </c>
      <c r="Y4" s="1277" t="s">
        <v>958</v>
      </c>
      <c r="Z4" s="148" t="s">
        <v>954</v>
      </c>
      <c r="AA4" s="148" t="s">
        <v>955</v>
      </c>
      <c r="AB4" s="148" t="s">
        <v>956</v>
      </c>
      <c r="AC4" s="150" t="s">
        <v>957</v>
      </c>
      <c r="AD4" s="563" t="s">
        <v>958</v>
      </c>
      <c r="AE4" s="328"/>
      <c r="AF4" s="328"/>
      <c r="AG4" s="328"/>
      <c r="AH4" s="328"/>
    </row>
    <row r="5" spans="1:35" x14ac:dyDescent="0.25">
      <c r="A5" s="1724"/>
      <c r="B5" s="740" t="s">
        <v>1441</v>
      </c>
      <c r="C5" s="148"/>
      <c r="D5" s="148"/>
      <c r="E5" s="729"/>
      <c r="F5" s="740" t="s">
        <v>1440</v>
      </c>
      <c r="G5" s="148"/>
      <c r="H5" s="148"/>
      <c r="I5" s="148"/>
      <c r="J5" s="818"/>
      <c r="K5" s="1726" t="s">
        <v>1390</v>
      </c>
      <c r="L5" s="1727"/>
      <c r="M5" s="1727"/>
      <c r="N5" s="1727"/>
      <c r="O5" s="1728"/>
      <c r="P5" s="819" t="s">
        <v>1391</v>
      </c>
      <c r="Q5" s="148"/>
      <c r="R5" s="148"/>
      <c r="S5" s="148"/>
      <c r="T5" s="818"/>
      <c r="U5" s="819" t="s">
        <v>1392</v>
      </c>
      <c r="V5" s="148"/>
      <c r="W5" s="148"/>
      <c r="X5" s="148"/>
      <c r="Y5" s="818"/>
      <c r="Z5" s="819" t="s">
        <v>1517</v>
      </c>
      <c r="AA5" s="148"/>
      <c r="AB5" s="148"/>
      <c r="AC5" s="148"/>
      <c r="AD5" s="741"/>
      <c r="AE5" s="328"/>
      <c r="AF5" s="328"/>
      <c r="AG5" s="328"/>
      <c r="AH5" s="328"/>
    </row>
    <row r="6" spans="1:35" x14ac:dyDescent="0.25">
      <c r="A6" s="564" t="s">
        <v>423</v>
      </c>
      <c r="B6" s="151"/>
      <c r="C6" s="152"/>
      <c r="D6" s="152"/>
      <c r="E6" s="330"/>
      <c r="F6" s="151"/>
      <c r="G6" s="152"/>
      <c r="H6" s="152"/>
      <c r="I6" s="152"/>
      <c r="J6" s="330"/>
      <c r="K6" s="151"/>
      <c r="L6" s="152"/>
      <c r="M6" s="152"/>
      <c r="N6" s="152"/>
      <c r="O6" s="153"/>
      <c r="P6" s="151"/>
      <c r="Q6" s="152"/>
      <c r="R6" s="152"/>
      <c r="S6" s="152"/>
      <c r="T6" s="330"/>
      <c r="U6" s="151"/>
      <c r="V6" s="152"/>
      <c r="W6" s="152"/>
      <c r="X6" s="152"/>
      <c r="Y6" s="330"/>
      <c r="Z6" s="151"/>
      <c r="AA6" s="152"/>
      <c r="AB6" s="152"/>
      <c r="AC6" s="152"/>
      <c r="AD6" s="565"/>
      <c r="AE6" s="328"/>
      <c r="AF6" s="328"/>
      <c r="AG6" s="328"/>
      <c r="AH6" s="328"/>
    </row>
    <row r="7" spans="1:35" x14ac:dyDescent="0.25">
      <c r="A7" s="566" t="s">
        <v>962</v>
      </c>
      <c r="B7" s="1227">
        <v>312</v>
      </c>
      <c r="C7" s="1227">
        <v>162</v>
      </c>
      <c r="D7" s="1228">
        <v>0</v>
      </c>
      <c r="E7" s="331">
        <f t="shared" ref="E7:E14" si="0">SUM(B7:D7)</f>
        <v>474</v>
      </c>
      <c r="F7" s="1227">
        <v>357</v>
      </c>
      <c r="G7" s="1227">
        <v>204</v>
      </c>
      <c r="H7" s="1228">
        <v>0</v>
      </c>
      <c r="I7" s="154">
        <f t="shared" ref="I7:I14" si="1">SUM(F7:H7)</f>
        <v>561</v>
      </c>
      <c r="J7" s="602">
        <f t="shared" ref="J7:J15" si="2">IF(E7&gt;0,(I7-E7)/E7,(IF(I7=0,"N/A",100%)))</f>
        <v>0.18354430379746836</v>
      </c>
      <c r="K7" s="154">
        <v>315</v>
      </c>
      <c r="L7" s="154">
        <v>357</v>
      </c>
      <c r="M7" s="512">
        <v>0</v>
      </c>
      <c r="N7" s="154">
        <f t="shared" ref="N7:N14" si="3">SUM(K7:M7)</f>
        <v>672</v>
      </c>
      <c r="O7" s="155">
        <f t="shared" ref="O7:O15" si="4">IF(I7&gt;0,(N7-I7)/I7,(IF(N7=0,"N/A",100%)))</f>
        <v>0.19786096256684493</v>
      </c>
      <c r="P7" s="154">
        <v>396</v>
      </c>
      <c r="Q7" s="154">
        <v>306</v>
      </c>
      <c r="R7" s="512">
        <v>0</v>
      </c>
      <c r="S7" s="154">
        <f t="shared" ref="S7:S14" si="5">SUM(P7:R7)</f>
        <v>702</v>
      </c>
      <c r="T7" s="602">
        <f t="shared" ref="T7:T15" si="6">IF(N7&gt;0,(S7-N7)/N7,(IF(S7=0,"N/A",100%)))</f>
        <v>4.4642857142857144E-2</v>
      </c>
      <c r="U7" s="154">
        <v>414</v>
      </c>
      <c r="V7" s="154">
        <v>285</v>
      </c>
      <c r="W7" s="512">
        <v>0</v>
      </c>
      <c r="X7" s="154">
        <f t="shared" ref="X7:X14" si="7">SUM(U7:W7)</f>
        <v>699</v>
      </c>
      <c r="Y7" s="602">
        <f t="shared" ref="Y7:Y15" si="8">IF(S7&gt;0,(X7-S7)/S7,(IF(X7=0,"N/A",100%)))</f>
        <v>-4.2735042735042739E-3</v>
      </c>
      <c r="Z7" s="154">
        <v>399</v>
      </c>
      <c r="AA7" s="154">
        <v>329</v>
      </c>
      <c r="AB7" s="512">
        <v>0</v>
      </c>
      <c r="AC7" s="154">
        <f t="shared" ref="AC7:AC14" si="9">SUM(Z7:AB7)</f>
        <v>728</v>
      </c>
      <c r="AD7" s="567">
        <f t="shared" ref="AD7:AD15" si="10">IF(X7&gt;0,(AC7-X7)/X7,(IF(AC7=0,"N/A",100%)))</f>
        <v>4.1487839771101577E-2</v>
      </c>
      <c r="AE7" s="328"/>
      <c r="AF7" s="328"/>
      <c r="AG7" s="328"/>
      <c r="AH7" s="328"/>
    </row>
    <row r="8" spans="1:35" s="156" customFormat="1" x14ac:dyDescent="0.25">
      <c r="A8" s="568" t="s">
        <v>963</v>
      </c>
      <c r="B8" s="1227">
        <v>727</v>
      </c>
      <c r="C8" s="1227">
        <v>572</v>
      </c>
      <c r="D8" s="1228">
        <v>0</v>
      </c>
      <c r="E8" s="331">
        <f t="shared" si="0"/>
        <v>1299</v>
      </c>
      <c r="F8" s="1227">
        <v>1059</v>
      </c>
      <c r="G8" s="1227">
        <v>630</v>
      </c>
      <c r="H8" s="1228">
        <v>0</v>
      </c>
      <c r="I8" s="154">
        <f t="shared" si="1"/>
        <v>1689</v>
      </c>
      <c r="J8" s="602">
        <f t="shared" si="2"/>
        <v>0.30023094688221708</v>
      </c>
      <c r="K8" s="154">
        <v>984</v>
      </c>
      <c r="L8" s="154">
        <v>748</v>
      </c>
      <c r="M8" s="512">
        <v>0</v>
      </c>
      <c r="N8" s="154">
        <f t="shared" si="3"/>
        <v>1732</v>
      </c>
      <c r="O8" s="155">
        <f t="shared" si="4"/>
        <v>2.5458851391355831E-2</v>
      </c>
      <c r="P8" s="154">
        <v>966</v>
      </c>
      <c r="Q8" s="154">
        <v>610</v>
      </c>
      <c r="R8" s="512">
        <v>0</v>
      </c>
      <c r="S8" s="154">
        <f t="shared" si="5"/>
        <v>1576</v>
      </c>
      <c r="T8" s="602">
        <f t="shared" si="6"/>
        <v>-9.0069284064665134E-2</v>
      </c>
      <c r="U8" s="154">
        <v>981</v>
      </c>
      <c r="V8" s="154">
        <v>644</v>
      </c>
      <c r="W8" s="512">
        <v>0</v>
      </c>
      <c r="X8" s="154">
        <f t="shared" si="7"/>
        <v>1625</v>
      </c>
      <c r="Y8" s="602">
        <f t="shared" si="8"/>
        <v>3.1091370558375634E-2</v>
      </c>
      <c r="Z8" s="154">
        <v>1011</v>
      </c>
      <c r="AA8" s="154">
        <v>695</v>
      </c>
      <c r="AB8" s="512">
        <v>0</v>
      </c>
      <c r="AC8" s="154">
        <f t="shared" si="9"/>
        <v>1706</v>
      </c>
      <c r="AD8" s="567">
        <f t="shared" si="10"/>
        <v>4.9846153846153846E-2</v>
      </c>
      <c r="AE8" s="569"/>
      <c r="AF8" s="569"/>
      <c r="AG8" s="569"/>
      <c r="AH8" s="569"/>
    </row>
    <row r="9" spans="1:35" x14ac:dyDescent="0.25">
      <c r="A9" s="566" t="s">
        <v>964</v>
      </c>
      <c r="B9" s="1227">
        <v>27</v>
      </c>
      <c r="C9" s="1227">
        <v>0</v>
      </c>
      <c r="D9" s="1228">
        <v>0</v>
      </c>
      <c r="E9" s="331">
        <f t="shared" si="0"/>
        <v>27</v>
      </c>
      <c r="F9" s="1227">
        <v>45</v>
      </c>
      <c r="G9" s="1227">
        <v>0</v>
      </c>
      <c r="H9" s="1228">
        <v>0</v>
      </c>
      <c r="I9" s="154">
        <f t="shared" si="1"/>
        <v>45</v>
      </c>
      <c r="J9" s="602">
        <f t="shared" si="2"/>
        <v>0.66666666666666663</v>
      </c>
      <c r="K9" s="154">
        <v>24</v>
      </c>
      <c r="L9" s="154">
        <v>0</v>
      </c>
      <c r="M9" s="512">
        <v>0</v>
      </c>
      <c r="N9" s="154">
        <f t="shared" si="3"/>
        <v>24</v>
      </c>
      <c r="O9" s="155">
        <f t="shared" si="4"/>
        <v>-0.46666666666666667</v>
      </c>
      <c r="P9" s="154">
        <v>18</v>
      </c>
      <c r="Q9" s="154">
        <v>0</v>
      </c>
      <c r="R9" s="512">
        <v>0</v>
      </c>
      <c r="S9" s="154">
        <f t="shared" si="5"/>
        <v>18</v>
      </c>
      <c r="T9" s="602">
        <f t="shared" si="6"/>
        <v>-0.25</v>
      </c>
      <c r="U9" s="154">
        <v>29</v>
      </c>
      <c r="V9" s="154">
        <v>0</v>
      </c>
      <c r="W9" s="512">
        <v>0</v>
      </c>
      <c r="X9" s="154">
        <f t="shared" si="7"/>
        <v>29</v>
      </c>
      <c r="Y9" s="602">
        <f t="shared" si="8"/>
        <v>0.61111111111111116</v>
      </c>
      <c r="Z9" s="154">
        <v>18</v>
      </c>
      <c r="AA9" s="154">
        <v>0</v>
      </c>
      <c r="AB9" s="512">
        <v>0</v>
      </c>
      <c r="AC9" s="154">
        <f t="shared" si="9"/>
        <v>18</v>
      </c>
      <c r="AD9" s="567">
        <f t="shared" si="10"/>
        <v>-0.37931034482758619</v>
      </c>
      <c r="AE9" s="328"/>
      <c r="AF9" s="328"/>
      <c r="AG9" s="328"/>
      <c r="AH9" s="328"/>
    </row>
    <row r="10" spans="1:35" x14ac:dyDescent="0.25">
      <c r="A10" s="566" t="s">
        <v>965</v>
      </c>
      <c r="B10" s="1227">
        <v>738</v>
      </c>
      <c r="C10" s="1227">
        <v>93</v>
      </c>
      <c r="D10" s="1228">
        <v>0</v>
      </c>
      <c r="E10" s="331">
        <f t="shared" si="0"/>
        <v>831</v>
      </c>
      <c r="F10" s="1227">
        <v>789</v>
      </c>
      <c r="G10" s="1227">
        <v>84</v>
      </c>
      <c r="H10" s="1228">
        <v>0</v>
      </c>
      <c r="I10" s="154">
        <f t="shared" si="1"/>
        <v>873</v>
      </c>
      <c r="J10" s="602">
        <f t="shared" si="2"/>
        <v>5.0541516245487361E-2</v>
      </c>
      <c r="K10" s="154">
        <v>990</v>
      </c>
      <c r="L10" s="154">
        <v>99</v>
      </c>
      <c r="M10" s="512">
        <v>0</v>
      </c>
      <c r="N10" s="154">
        <f t="shared" si="3"/>
        <v>1089</v>
      </c>
      <c r="O10" s="155">
        <f t="shared" si="4"/>
        <v>0.24742268041237114</v>
      </c>
      <c r="P10" s="154">
        <v>1155</v>
      </c>
      <c r="Q10" s="154">
        <v>81</v>
      </c>
      <c r="R10" s="512">
        <v>0</v>
      </c>
      <c r="S10" s="154">
        <f t="shared" si="5"/>
        <v>1236</v>
      </c>
      <c r="T10" s="602">
        <f t="shared" si="6"/>
        <v>0.13498622589531681</v>
      </c>
      <c r="U10" s="154">
        <v>1026</v>
      </c>
      <c r="V10" s="154">
        <v>72</v>
      </c>
      <c r="W10" s="512">
        <v>0</v>
      </c>
      <c r="X10" s="154">
        <f t="shared" si="7"/>
        <v>1098</v>
      </c>
      <c r="Y10" s="602">
        <f t="shared" si="8"/>
        <v>-0.11165048543689321</v>
      </c>
      <c r="Z10" s="154">
        <v>969</v>
      </c>
      <c r="AA10" s="154">
        <v>78</v>
      </c>
      <c r="AB10" s="512">
        <v>0</v>
      </c>
      <c r="AC10" s="154">
        <f t="shared" si="9"/>
        <v>1047</v>
      </c>
      <c r="AD10" s="567">
        <f t="shared" si="10"/>
        <v>-4.6448087431693992E-2</v>
      </c>
      <c r="AE10" s="328"/>
      <c r="AF10" s="328"/>
      <c r="AG10" s="328"/>
      <c r="AH10" s="328"/>
    </row>
    <row r="11" spans="1:35" x14ac:dyDescent="0.25">
      <c r="A11" s="566" t="s">
        <v>966</v>
      </c>
      <c r="B11" s="1227">
        <v>0</v>
      </c>
      <c r="C11" s="1227">
        <v>192</v>
      </c>
      <c r="D11" s="1228">
        <v>0</v>
      </c>
      <c r="E11" s="331">
        <f t="shared" si="0"/>
        <v>192</v>
      </c>
      <c r="F11" s="1227">
        <v>69</v>
      </c>
      <c r="G11" s="1227">
        <v>156</v>
      </c>
      <c r="H11" s="1228">
        <v>0</v>
      </c>
      <c r="I11" s="154">
        <f t="shared" si="1"/>
        <v>225</v>
      </c>
      <c r="J11" s="602">
        <f t="shared" si="2"/>
        <v>0.171875</v>
      </c>
      <c r="K11" s="154">
        <v>78</v>
      </c>
      <c r="L11" s="154">
        <v>207</v>
      </c>
      <c r="M11" s="512">
        <v>0</v>
      </c>
      <c r="N11" s="154">
        <f t="shared" si="3"/>
        <v>285</v>
      </c>
      <c r="O11" s="155">
        <f t="shared" si="4"/>
        <v>0.26666666666666666</v>
      </c>
      <c r="P11" s="154">
        <v>90</v>
      </c>
      <c r="Q11" s="154">
        <v>207</v>
      </c>
      <c r="R11" s="512">
        <v>0</v>
      </c>
      <c r="S11" s="154">
        <f t="shared" si="5"/>
        <v>297</v>
      </c>
      <c r="T11" s="602">
        <f t="shared" si="6"/>
        <v>4.2105263157894736E-2</v>
      </c>
      <c r="U11" s="154">
        <v>72</v>
      </c>
      <c r="V11" s="154">
        <v>243</v>
      </c>
      <c r="W11" s="512">
        <v>0</v>
      </c>
      <c r="X11" s="154">
        <f t="shared" si="7"/>
        <v>315</v>
      </c>
      <c r="Y11" s="602">
        <f t="shared" si="8"/>
        <v>6.0606060606060608E-2</v>
      </c>
      <c r="Z11" s="154">
        <v>150</v>
      </c>
      <c r="AA11" s="154">
        <v>207</v>
      </c>
      <c r="AB11" s="512">
        <v>0</v>
      </c>
      <c r="AC11" s="154">
        <f t="shared" si="9"/>
        <v>357</v>
      </c>
      <c r="AD11" s="567">
        <f t="shared" si="10"/>
        <v>0.13333333333333333</v>
      </c>
      <c r="AE11" s="328"/>
      <c r="AF11" s="328"/>
      <c r="AG11" s="328"/>
      <c r="AH11" s="328"/>
    </row>
    <row r="12" spans="1:35" x14ac:dyDescent="0.25">
      <c r="A12" s="566" t="s">
        <v>967</v>
      </c>
      <c r="B12" s="1227">
        <v>161</v>
      </c>
      <c r="C12" s="1227">
        <v>156</v>
      </c>
      <c r="D12" s="1228">
        <v>0</v>
      </c>
      <c r="E12" s="331">
        <f t="shared" si="0"/>
        <v>317</v>
      </c>
      <c r="F12" s="1227">
        <v>216</v>
      </c>
      <c r="G12" s="1227">
        <v>135</v>
      </c>
      <c r="H12" s="1228">
        <v>0</v>
      </c>
      <c r="I12" s="154">
        <f t="shared" si="1"/>
        <v>351</v>
      </c>
      <c r="J12" s="602">
        <f t="shared" si="2"/>
        <v>0.10725552050473186</v>
      </c>
      <c r="K12" s="154">
        <v>243</v>
      </c>
      <c r="L12" s="154">
        <v>180</v>
      </c>
      <c r="M12" s="512">
        <v>0</v>
      </c>
      <c r="N12" s="154">
        <f t="shared" si="3"/>
        <v>423</v>
      </c>
      <c r="O12" s="155">
        <f t="shared" si="4"/>
        <v>0.20512820512820512</v>
      </c>
      <c r="P12" s="154">
        <v>279</v>
      </c>
      <c r="Q12" s="154">
        <v>180</v>
      </c>
      <c r="R12" s="512">
        <v>0</v>
      </c>
      <c r="S12" s="154">
        <f t="shared" si="5"/>
        <v>459</v>
      </c>
      <c r="T12" s="602">
        <f t="shared" si="6"/>
        <v>8.5106382978723402E-2</v>
      </c>
      <c r="U12" s="154">
        <v>343</v>
      </c>
      <c r="V12" s="154">
        <v>201</v>
      </c>
      <c r="W12" s="512">
        <v>0</v>
      </c>
      <c r="X12" s="154">
        <f t="shared" si="7"/>
        <v>544</v>
      </c>
      <c r="Y12" s="602">
        <f t="shared" si="8"/>
        <v>0.18518518518518517</v>
      </c>
      <c r="Z12" s="154">
        <v>317</v>
      </c>
      <c r="AA12" s="154">
        <v>237</v>
      </c>
      <c r="AB12" s="512">
        <v>0</v>
      </c>
      <c r="AC12" s="154">
        <f t="shared" si="9"/>
        <v>554</v>
      </c>
      <c r="AD12" s="567">
        <f t="shared" si="10"/>
        <v>1.8382352941176471E-2</v>
      </c>
      <c r="AE12" s="328"/>
      <c r="AF12" s="328"/>
      <c r="AG12" s="328"/>
      <c r="AH12" s="328"/>
    </row>
    <row r="13" spans="1:35" x14ac:dyDescent="0.25">
      <c r="A13" s="566" t="s">
        <v>968</v>
      </c>
      <c r="B13" s="1227">
        <v>0</v>
      </c>
      <c r="C13" s="1227">
        <v>426</v>
      </c>
      <c r="D13" s="1228">
        <v>0</v>
      </c>
      <c r="E13" s="331">
        <f t="shared" si="0"/>
        <v>426</v>
      </c>
      <c r="F13" s="1227">
        <v>0</v>
      </c>
      <c r="G13" s="1227">
        <v>423</v>
      </c>
      <c r="H13" s="1228">
        <v>0</v>
      </c>
      <c r="I13" s="154">
        <f t="shared" si="1"/>
        <v>423</v>
      </c>
      <c r="J13" s="602">
        <f t="shared" si="2"/>
        <v>-7.0422535211267607E-3</v>
      </c>
      <c r="K13" s="154">
        <v>0</v>
      </c>
      <c r="L13" s="154">
        <v>528</v>
      </c>
      <c r="M13" s="512">
        <v>0</v>
      </c>
      <c r="N13" s="154">
        <f t="shared" si="3"/>
        <v>528</v>
      </c>
      <c r="O13" s="155">
        <f t="shared" si="4"/>
        <v>0.24822695035460993</v>
      </c>
      <c r="P13" s="154">
        <v>0</v>
      </c>
      <c r="Q13" s="154">
        <v>501</v>
      </c>
      <c r="R13" s="512">
        <v>0</v>
      </c>
      <c r="S13" s="154">
        <f t="shared" si="5"/>
        <v>501</v>
      </c>
      <c r="T13" s="602">
        <f t="shared" si="6"/>
        <v>-5.113636363636364E-2</v>
      </c>
      <c r="U13" s="154">
        <v>0</v>
      </c>
      <c r="V13" s="154">
        <v>564</v>
      </c>
      <c r="W13" s="512">
        <v>0</v>
      </c>
      <c r="X13" s="154">
        <f t="shared" si="7"/>
        <v>564</v>
      </c>
      <c r="Y13" s="602">
        <f t="shared" si="8"/>
        <v>0.12574850299401197</v>
      </c>
      <c r="Z13" s="154">
        <v>0</v>
      </c>
      <c r="AA13" s="154">
        <v>609</v>
      </c>
      <c r="AB13" s="512">
        <v>0</v>
      </c>
      <c r="AC13" s="154">
        <f t="shared" si="9"/>
        <v>609</v>
      </c>
      <c r="AD13" s="567">
        <f t="shared" si="10"/>
        <v>7.9787234042553196E-2</v>
      </c>
      <c r="AE13" s="328"/>
      <c r="AF13" s="328"/>
      <c r="AG13" s="328"/>
      <c r="AH13" s="328"/>
    </row>
    <row r="14" spans="1:35" x14ac:dyDescent="0.25">
      <c r="A14" s="566" t="s">
        <v>969</v>
      </c>
      <c r="B14" s="1227">
        <v>0</v>
      </c>
      <c r="C14" s="1227">
        <v>282</v>
      </c>
      <c r="D14" s="1228">
        <v>0</v>
      </c>
      <c r="E14" s="331">
        <f t="shared" si="0"/>
        <v>282</v>
      </c>
      <c r="F14" s="1227">
        <v>0</v>
      </c>
      <c r="G14" s="1227">
        <v>276</v>
      </c>
      <c r="H14" s="1228">
        <v>0</v>
      </c>
      <c r="I14" s="154">
        <f t="shared" si="1"/>
        <v>276</v>
      </c>
      <c r="J14" s="602">
        <f t="shared" si="2"/>
        <v>-2.1276595744680851E-2</v>
      </c>
      <c r="K14" s="154">
        <v>0</v>
      </c>
      <c r="L14" s="154">
        <v>324</v>
      </c>
      <c r="M14" s="512">
        <v>0</v>
      </c>
      <c r="N14" s="154">
        <f t="shared" si="3"/>
        <v>324</v>
      </c>
      <c r="O14" s="155">
        <f t="shared" si="4"/>
        <v>0.17391304347826086</v>
      </c>
      <c r="P14" s="154">
        <v>0</v>
      </c>
      <c r="Q14" s="154">
        <v>300</v>
      </c>
      <c r="R14" s="512">
        <v>0</v>
      </c>
      <c r="S14" s="154">
        <f t="shared" si="5"/>
        <v>300</v>
      </c>
      <c r="T14" s="602">
        <f t="shared" si="6"/>
        <v>-7.407407407407407E-2</v>
      </c>
      <c r="U14" s="154">
        <v>0</v>
      </c>
      <c r="V14" s="154">
        <v>498</v>
      </c>
      <c r="W14" s="512">
        <v>0</v>
      </c>
      <c r="X14" s="154">
        <f t="shared" si="7"/>
        <v>498</v>
      </c>
      <c r="Y14" s="602">
        <f t="shared" si="8"/>
        <v>0.66</v>
      </c>
      <c r="Z14" s="154">
        <v>0</v>
      </c>
      <c r="AA14" s="154">
        <v>429</v>
      </c>
      <c r="AB14" s="512">
        <v>0</v>
      </c>
      <c r="AC14" s="154">
        <f t="shared" si="9"/>
        <v>429</v>
      </c>
      <c r="AD14" s="567">
        <f t="shared" si="10"/>
        <v>-0.13855421686746988</v>
      </c>
      <c r="AE14" s="328"/>
      <c r="AF14" s="328"/>
      <c r="AG14" s="328"/>
      <c r="AH14" s="328"/>
    </row>
    <row r="15" spans="1:35" s="575" customFormat="1" ht="13.8" x14ac:dyDescent="0.25">
      <c r="A15" s="570" t="s">
        <v>961</v>
      </c>
      <c r="B15" s="571">
        <f t="shared" ref="B15:I15" si="11">SUM(B7:B14)</f>
        <v>1965</v>
      </c>
      <c r="C15" s="571">
        <f t="shared" si="11"/>
        <v>1883</v>
      </c>
      <c r="D15" s="571">
        <f t="shared" si="11"/>
        <v>0</v>
      </c>
      <c r="E15" s="572">
        <f t="shared" si="11"/>
        <v>3848</v>
      </c>
      <c r="F15" s="571">
        <f t="shared" si="11"/>
        <v>2535</v>
      </c>
      <c r="G15" s="571">
        <f t="shared" si="11"/>
        <v>1908</v>
      </c>
      <c r="H15" s="571">
        <f t="shared" si="11"/>
        <v>0</v>
      </c>
      <c r="I15" s="571">
        <f t="shared" si="11"/>
        <v>4443</v>
      </c>
      <c r="J15" s="730">
        <f t="shared" si="2"/>
        <v>0.15462577962577961</v>
      </c>
      <c r="K15" s="571">
        <f>SUM(K7:K14)</f>
        <v>2634</v>
      </c>
      <c r="L15" s="571">
        <f>SUM(L7:L14)</f>
        <v>2443</v>
      </c>
      <c r="M15" s="571">
        <f>SUM(M7:M14)</f>
        <v>0</v>
      </c>
      <c r="N15" s="571">
        <f>SUM(N7:N14)</f>
        <v>5077</v>
      </c>
      <c r="O15" s="751">
        <f t="shared" si="4"/>
        <v>0.14269637632230475</v>
      </c>
      <c r="P15" s="571">
        <f>SUM(P7:P14)</f>
        <v>2904</v>
      </c>
      <c r="Q15" s="571">
        <f>SUM(Q7:Q14)</f>
        <v>2185</v>
      </c>
      <c r="R15" s="571">
        <f>SUM(R7:R14)</f>
        <v>0</v>
      </c>
      <c r="S15" s="571">
        <f>SUM(S7:S14)</f>
        <v>5089</v>
      </c>
      <c r="T15" s="730">
        <f t="shared" si="6"/>
        <v>2.3636005515067955E-3</v>
      </c>
      <c r="U15" s="571">
        <f>SUM(U7:U14)</f>
        <v>2865</v>
      </c>
      <c r="V15" s="571">
        <f>SUM(V7:V14)</f>
        <v>2507</v>
      </c>
      <c r="W15" s="571">
        <f>SUM(W7:W14)</f>
        <v>0</v>
      </c>
      <c r="X15" s="571">
        <f>SUM(X7:X14)</f>
        <v>5372</v>
      </c>
      <c r="Y15" s="730">
        <f t="shared" si="8"/>
        <v>5.5610139516604443E-2</v>
      </c>
      <c r="Z15" s="571">
        <f>SUM(Z7:Z14)</f>
        <v>2864</v>
      </c>
      <c r="AA15" s="571">
        <f>SUM(AA7:AA14)</f>
        <v>2584</v>
      </c>
      <c r="AB15" s="571">
        <f>SUM(AB7:AB14)</f>
        <v>0</v>
      </c>
      <c r="AC15" s="571">
        <f>SUM(AC7:AC14)</f>
        <v>5448</v>
      </c>
      <c r="AD15" s="574">
        <f t="shared" si="10"/>
        <v>1.4147431124348473E-2</v>
      </c>
    </row>
    <row r="16" spans="1:35" x14ac:dyDescent="0.25">
      <c r="A16" s="576" t="s">
        <v>424</v>
      </c>
      <c r="B16" s="1088"/>
      <c r="C16" s="1088"/>
      <c r="D16" s="1088"/>
      <c r="E16" s="1089"/>
      <c r="F16" s="605"/>
      <c r="G16" s="578"/>
      <c r="H16" s="578"/>
      <c r="I16" s="578"/>
      <c r="J16" s="518"/>
      <c r="K16" s="605"/>
      <c r="L16" s="578"/>
      <c r="M16" s="578"/>
      <c r="N16" s="578"/>
      <c r="O16" s="518"/>
      <c r="P16" s="605"/>
      <c r="Q16" s="578"/>
      <c r="R16" s="578"/>
      <c r="S16" s="578"/>
      <c r="T16" s="518"/>
      <c r="U16" s="605"/>
      <c r="V16" s="578"/>
      <c r="W16" s="578"/>
      <c r="X16" s="578"/>
      <c r="Y16" s="518"/>
      <c r="Z16" s="605"/>
      <c r="AA16" s="578"/>
      <c r="AB16" s="578"/>
      <c r="AC16" s="578"/>
      <c r="AD16" s="599"/>
      <c r="AE16" s="328"/>
      <c r="AF16" s="328"/>
      <c r="AG16" s="328"/>
      <c r="AH16" s="328"/>
    </row>
    <row r="17" spans="1:34" x14ac:dyDescent="0.25">
      <c r="A17" s="579" t="s">
        <v>989</v>
      </c>
      <c r="B17" s="1229">
        <v>120</v>
      </c>
      <c r="C17" s="1230">
        <v>12</v>
      </c>
      <c r="D17" s="1228">
        <v>0</v>
      </c>
      <c r="E17" s="375">
        <f>SUM(B17:D17)</f>
        <v>132</v>
      </c>
      <c r="F17" s="1229">
        <v>135</v>
      </c>
      <c r="G17" s="1230">
        <v>0</v>
      </c>
      <c r="H17" s="1228">
        <v>0</v>
      </c>
      <c r="I17" s="581">
        <f>SUM(F17:H17)</f>
        <v>135</v>
      </c>
      <c r="J17" s="582">
        <f t="shared" ref="J17:J22" si="12">IF(E17&gt;0,(I17-E17)/E17,(IF(I17=0,"N/A",100%)))</f>
        <v>2.2727272727272728E-2</v>
      </c>
      <c r="K17" s="580">
        <v>249</v>
      </c>
      <c r="L17" s="581">
        <v>0</v>
      </c>
      <c r="M17" s="512">
        <v>0</v>
      </c>
      <c r="N17" s="581">
        <f>SUM(K17:M17)</f>
        <v>249</v>
      </c>
      <c r="O17" s="582">
        <f t="shared" ref="O17:O22" si="13">IF(I17&gt;0,(N17-I17)/I17,(IF(N17=0,"N/A",100%)))</f>
        <v>0.84444444444444444</v>
      </c>
      <c r="P17" s="580">
        <v>228</v>
      </c>
      <c r="Q17" s="581">
        <v>0</v>
      </c>
      <c r="R17" s="512">
        <v>0</v>
      </c>
      <c r="S17" s="581">
        <f>SUM(P17:R17)</f>
        <v>228</v>
      </c>
      <c r="T17" s="582">
        <f t="shared" ref="T17:T22" si="14">IF(N17&gt;0,(S17-N17)/N17,(IF(S17=0,"N/A",100%)))</f>
        <v>-8.4337349397590355E-2</v>
      </c>
      <c r="U17" s="580">
        <v>210</v>
      </c>
      <c r="V17" s="581">
        <v>0</v>
      </c>
      <c r="W17" s="512">
        <v>0</v>
      </c>
      <c r="X17" s="581">
        <f>SUM(U17:W17)</f>
        <v>210</v>
      </c>
      <c r="Y17" s="582">
        <f t="shared" ref="Y17:Y22" si="15">IF(S17&gt;0,(X17-S17)/S17,(IF(X17=0,"N/A",100%)))</f>
        <v>-7.8947368421052627E-2</v>
      </c>
      <c r="Z17" s="580">
        <v>213</v>
      </c>
      <c r="AA17" s="581">
        <v>0</v>
      </c>
      <c r="AB17" s="512">
        <v>0</v>
      </c>
      <c r="AC17" s="581">
        <f>SUM(Z17:AB17)</f>
        <v>213</v>
      </c>
      <c r="AD17" s="583">
        <f t="shared" ref="AD17:AD22" si="16">IF(X17&gt;0,(AC17-X17)/X17,(IF(AC17=0,"N/A",100%)))</f>
        <v>1.4285714285714285E-2</v>
      </c>
      <c r="AE17" s="328"/>
      <c r="AF17" s="328"/>
      <c r="AG17" s="328"/>
      <c r="AH17" s="328"/>
    </row>
    <row r="18" spans="1:34" x14ac:dyDescent="0.25">
      <c r="A18" s="579" t="s">
        <v>503</v>
      </c>
      <c r="B18" s="1229">
        <v>0</v>
      </c>
      <c r="C18" s="1230">
        <v>45</v>
      </c>
      <c r="D18" s="1228">
        <v>0</v>
      </c>
      <c r="E18" s="375">
        <f>SUM(B18:D18)</f>
        <v>45</v>
      </c>
      <c r="F18" s="1229">
        <v>0</v>
      </c>
      <c r="G18" s="1230">
        <v>78</v>
      </c>
      <c r="H18" s="1228">
        <v>0</v>
      </c>
      <c r="I18" s="581">
        <f>SUM(F18:H18)</f>
        <v>78</v>
      </c>
      <c r="J18" s="582">
        <f t="shared" si="12"/>
        <v>0.73333333333333328</v>
      </c>
      <c r="K18" s="580">
        <v>0</v>
      </c>
      <c r="L18" s="581">
        <v>72</v>
      </c>
      <c r="M18" s="512">
        <v>0</v>
      </c>
      <c r="N18" s="581">
        <f>SUM(K18:M18)</f>
        <v>72</v>
      </c>
      <c r="O18" s="582">
        <f t="shared" si="13"/>
        <v>-7.6923076923076927E-2</v>
      </c>
      <c r="P18" s="580">
        <v>0</v>
      </c>
      <c r="Q18" s="581">
        <v>42</v>
      </c>
      <c r="R18" s="512">
        <v>0</v>
      </c>
      <c r="S18" s="581">
        <f>SUM(P18:R18)</f>
        <v>42</v>
      </c>
      <c r="T18" s="582">
        <f t="shared" si="14"/>
        <v>-0.41666666666666669</v>
      </c>
      <c r="U18" s="580">
        <v>0</v>
      </c>
      <c r="V18" s="581">
        <v>45</v>
      </c>
      <c r="W18" s="512">
        <v>0</v>
      </c>
      <c r="X18" s="581">
        <f>SUM(U18:W18)</f>
        <v>45</v>
      </c>
      <c r="Y18" s="582">
        <f t="shared" si="15"/>
        <v>7.1428571428571425E-2</v>
      </c>
      <c r="Z18" s="580">
        <v>0</v>
      </c>
      <c r="AA18" s="581">
        <v>18</v>
      </c>
      <c r="AB18" s="512">
        <v>0</v>
      </c>
      <c r="AC18" s="581">
        <f>SUM(Z18:AB18)</f>
        <v>18</v>
      </c>
      <c r="AD18" s="583">
        <f t="shared" si="16"/>
        <v>-0.6</v>
      </c>
      <c r="AE18" s="328"/>
      <c r="AF18" s="328"/>
      <c r="AG18" s="328"/>
      <c r="AH18" s="328"/>
    </row>
    <row r="19" spans="1:34" x14ac:dyDescent="0.25">
      <c r="A19" s="579" t="s">
        <v>988</v>
      </c>
      <c r="B19" s="1229">
        <v>414</v>
      </c>
      <c r="C19" s="1230">
        <v>546</v>
      </c>
      <c r="D19" s="1228">
        <v>0</v>
      </c>
      <c r="E19" s="375">
        <f>SUM(B19:D19)</f>
        <v>960</v>
      </c>
      <c r="F19" s="1229">
        <v>459</v>
      </c>
      <c r="G19" s="1230">
        <v>596</v>
      </c>
      <c r="H19" s="1228">
        <v>0</v>
      </c>
      <c r="I19" s="581">
        <f>SUM(F19:H19)</f>
        <v>1055</v>
      </c>
      <c r="J19" s="582">
        <f t="shared" si="12"/>
        <v>9.8958333333333329E-2</v>
      </c>
      <c r="K19" s="580">
        <v>777</v>
      </c>
      <c r="L19" s="581">
        <v>402</v>
      </c>
      <c r="M19" s="512">
        <v>0</v>
      </c>
      <c r="N19" s="581">
        <f>SUM(K19:M19)</f>
        <v>1179</v>
      </c>
      <c r="O19" s="582">
        <f t="shared" si="13"/>
        <v>0.11753554502369669</v>
      </c>
      <c r="P19" s="580">
        <v>903</v>
      </c>
      <c r="Q19" s="581">
        <v>323</v>
      </c>
      <c r="R19" s="512">
        <v>0</v>
      </c>
      <c r="S19" s="581">
        <f>SUM(P19:R19)</f>
        <v>1226</v>
      </c>
      <c r="T19" s="582">
        <f t="shared" si="14"/>
        <v>3.9864291772688722E-2</v>
      </c>
      <c r="U19" s="580">
        <v>768</v>
      </c>
      <c r="V19" s="581">
        <v>226</v>
      </c>
      <c r="W19" s="512">
        <v>0</v>
      </c>
      <c r="X19" s="581">
        <f>SUM(U19:W19)</f>
        <v>994</v>
      </c>
      <c r="Y19" s="582">
        <f t="shared" si="15"/>
        <v>-0.18923327895595432</v>
      </c>
      <c r="Z19" s="580">
        <v>798</v>
      </c>
      <c r="AA19" s="581">
        <v>285</v>
      </c>
      <c r="AB19" s="512">
        <v>0</v>
      </c>
      <c r="AC19" s="581">
        <f>SUM(Z19:AB19)</f>
        <v>1083</v>
      </c>
      <c r="AD19" s="583">
        <f t="shared" si="16"/>
        <v>8.9537223340040245E-2</v>
      </c>
      <c r="AE19" s="328"/>
      <c r="AF19" s="328"/>
      <c r="AG19" s="328"/>
      <c r="AH19" s="328"/>
    </row>
    <row r="20" spans="1:34" x14ac:dyDescent="0.25">
      <c r="A20" s="579" t="s">
        <v>960</v>
      </c>
      <c r="B20" s="1229">
        <v>886</v>
      </c>
      <c r="C20" s="1230">
        <v>480</v>
      </c>
      <c r="D20" s="1228">
        <v>0</v>
      </c>
      <c r="E20" s="375">
        <f>SUM(B20:D20)</f>
        <v>1366</v>
      </c>
      <c r="F20" s="1229">
        <v>985</v>
      </c>
      <c r="G20" s="1230">
        <v>498</v>
      </c>
      <c r="H20" s="1228">
        <v>0</v>
      </c>
      <c r="I20" s="581">
        <f>SUM(F20:H20)</f>
        <v>1483</v>
      </c>
      <c r="J20" s="582">
        <f t="shared" si="12"/>
        <v>8.5651537335285508E-2</v>
      </c>
      <c r="K20" s="580">
        <v>1083</v>
      </c>
      <c r="L20" s="581">
        <v>327</v>
      </c>
      <c r="M20" s="512">
        <v>0</v>
      </c>
      <c r="N20" s="581">
        <f>SUM(K20:M20)</f>
        <v>1410</v>
      </c>
      <c r="O20" s="582">
        <f t="shared" si="13"/>
        <v>-4.9224544841537425E-2</v>
      </c>
      <c r="P20" s="580">
        <v>1044</v>
      </c>
      <c r="Q20" s="581">
        <v>396</v>
      </c>
      <c r="R20" s="512">
        <v>0</v>
      </c>
      <c r="S20" s="581">
        <f>SUM(P20:R20)</f>
        <v>1440</v>
      </c>
      <c r="T20" s="582">
        <f t="shared" si="14"/>
        <v>2.1276595744680851E-2</v>
      </c>
      <c r="U20" s="580">
        <v>1168</v>
      </c>
      <c r="V20" s="581">
        <v>504</v>
      </c>
      <c r="W20" s="512">
        <v>0</v>
      </c>
      <c r="X20" s="581">
        <f>SUM(U20:W20)</f>
        <v>1672</v>
      </c>
      <c r="Y20" s="582">
        <f t="shared" si="15"/>
        <v>0.16111111111111112</v>
      </c>
      <c r="Z20" s="580">
        <v>1113</v>
      </c>
      <c r="AA20" s="581">
        <v>501</v>
      </c>
      <c r="AB20" s="512">
        <v>0</v>
      </c>
      <c r="AC20" s="581">
        <f>SUM(Z20:AB20)</f>
        <v>1614</v>
      </c>
      <c r="AD20" s="583">
        <f t="shared" si="16"/>
        <v>-3.4688995215311005E-2</v>
      </c>
      <c r="AE20" s="328"/>
      <c r="AF20" s="328"/>
      <c r="AG20" s="328"/>
      <c r="AH20" s="328"/>
    </row>
    <row r="21" spans="1:34" s="575" customFormat="1" ht="13.8" x14ac:dyDescent="0.25">
      <c r="A21" s="584" t="s">
        <v>961</v>
      </c>
      <c r="B21" s="586">
        <f t="shared" ref="B21:I21" si="17">SUM(B17:B20)</f>
        <v>1420</v>
      </c>
      <c r="C21" s="586">
        <f t="shared" si="17"/>
        <v>1083</v>
      </c>
      <c r="D21" s="586">
        <f t="shared" si="17"/>
        <v>0</v>
      </c>
      <c r="E21" s="587">
        <f t="shared" si="17"/>
        <v>2503</v>
      </c>
      <c r="F21" s="585">
        <f t="shared" si="17"/>
        <v>1579</v>
      </c>
      <c r="G21" s="586">
        <f t="shared" si="17"/>
        <v>1172</v>
      </c>
      <c r="H21" s="586">
        <f t="shared" si="17"/>
        <v>0</v>
      </c>
      <c r="I21" s="586">
        <f t="shared" si="17"/>
        <v>2751</v>
      </c>
      <c r="J21" s="588">
        <f t="shared" si="12"/>
        <v>9.9081102676787852E-2</v>
      </c>
      <c r="K21" s="585">
        <f>SUM(K17:K20)</f>
        <v>2109</v>
      </c>
      <c r="L21" s="586">
        <f>SUM(L17:L20)</f>
        <v>801</v>
      </c>
      <c r="M21" s="586">
        <f>SUM(M17:M20)</f>
        <v>0</v>
      </c>
      <c r="N21" s="586">
        <f>SUM(N17:N20)</f>
        <v>2910</v>
      </c>
      <c r="O21" s="588">
        <f t="shared" si="13"/>
        <v>5.7797164667393673E-2</v>
      </c>
      <c r="P21" s="585">
        <f>SUM(P17:P20)</f>
        <v>2175</v>
      </c>
      <c r="Q21" s="586">
        <f>SUM(Q17:Q20)</f>
        <v>761</v>
      </c>
      <c r="R21" s="586">
        <f>SUM(R17:R20)</f>
        <v>0</v>
      </c>
      <c r="S21" s="586">
        <f>SUM(S17:S20)</f>
        <v>2936</v>
      </c>
      <c r="T21" s="588">
        <f t="shared" si="14"/>
        <v>8.9347079037800682E-3</v>
      </c>
      <c r="U21" s="585">
        <f>SUM(U17:U20)</f>
        <v>2146</v>
      </c>
      <c r="V21" s="586">
        <f>SUM(V17:V20)</f>
        <v>775</v>
      </c>
      <c r="W21" s="586">
        <f>SUM(W17:W20)</f>
        <v>0</v>
      </c>
      <c r="X21" s="586">
        <f>SUM(X17:X20)</f>
        <v>2921</v>
      </c>
      <c r="Y21" s="588">
        <f t="shared" si="15"/>
        <v>-5.108991825613079E-3</v>
      </c>
      <c r="Z21" s="585">
        <f>SUM(Z17:Z20)</f>
        <v>2124</v>
      </c>
      <c r="AA21" s="586">
        <f>SUM(AA17:AA20)</f>
        <v>804</v>
      </c>
      <c r="AB21" s="586">
        <f>SUM(AB17:AB20)</f>
        <v>0</v>
      </c>
      <c r="AC21" s="586">
        <f>SUM(AC17:AC20)</f>
        <v>2928</v>
      </c>
      <c r="AD21" s="589">
        <f t="shared" si="16"/>
        <v>2.3964395754878468E-3</v>
      </c>
    </row>
    <row r="22" spans="1:34" s="596" customFormat="1" ht="16.2" thickBot="1" x14ac:dyDescent="0.35">
      <c r="A22" s="590" t="s">
        <v>425</v>
      </c>
      <c r="B22" s="592">
        <f t="shared" ref="B22:I22" si="18">+B21+B15</f>
        <v>3385</v>
      </c>
      <c r="C22" s="592">
        <f t="shared" si="18"/>
        <v>2966</v>
      </c>
      <c r="D22" s="592">
        <f t="shared" si="18"/>
        <v>0</v>
      </c>
      <c r="E22" s="593">
        <f t="shared" si="18"/>
        <v>6351</v>
      </c>
      <c r="F22" s="591">
        <f t="shared" si="18"/>
        <v>4114</v>
      </c>
      <c r="G22" s="592">
        <f t="shared" si="18"/>
        <v>3080</v>
      </c>
      <c r="H22" s="592">
        <f t="shared" si="18"/>
        <v>0</v>
      </c>
      <c r="I22" s="592">
        <f t="shared" si="18"/>
        <v>7194</v>
      </c>
      <c r="J22" s="594">
        <f t="shared" si="12"/>
        <v>0.13273500236183278</v>
      </c>
      <c r="K22" s="591">
        <f>+K21+K15</f>
        <v>4743</v>
      </c>
      <c r="L22" s="592">
        <f>+L21+L15</f>
        <v>3244</v>
      </c>
      <c r="M22" s="592">
        <f>+M21+M15</f>
        <v>0</v>
      </c>
      <c r="N22" s="592">
        <f>+N21+N15</f>
        <v>7987</v>
      </c>
      <c r="O22" s="594">
        <f t="shared" si="13"/>
        <v>0.11023074784542675</v>
      </c>
      <c r="P22" s="591">
        <f>+P21+P15</f>
        <v>5079</v>
      </c>
      <c r="Q22" s="592">
        <f>+Q21+Q15</f>
        <v>2946</v>
      </c>
      <c r="R22" s="592">
        <f>+R21+R15</f>
        <v>0</v>
      </c>
      <c r="S22" s="592">
        <f>+S21+S15</f>
        <v>8025</v>
      </c>
      <c r="T22" s="594">
        <f t="shared" si="14"/>
        <v>4.7577313133842494E-3</v>
      </c>
      <c r="U22" s="591">
        <f>+U21+U15</f>
        <v>5011</v>
      </c>
      <c r="V22" s="592">
        <f>+V21+V15</f>
        <v>3282</v>
      </c>
      <c r="W22" s="592">
        <f>+W21+W15</f>
        <v>0</v>
      </c>
      <c r="X22" s="592">
        <f>+X21+X15</f>
        <v>8293</v>
      </c>
      <c r="Y22" s="594">
        <f t="shared" si="15"/>
        <v>3.3395638629283492E-2</v>
      </c>
      <c r="Z22" s="591">
        <f>+Z21+Z15</f>
        <v>4988</v>
      </c>
      <c r="AA22" s="592">
        <f>+AA21+AA15</f>
        <v>3388</v>
      </c>
      <c r="AB22" s="592">
        <f>+AB21+AB15</f>
        <v>0</v>
      </c>
      <c r="AC22" s="592">
        <f>+AC21+AC15</f>
        <v>8376</v>
      </c>
      <c r="AD22" s="595">
        <f t="shared" si="16"/>
        <v>1.0008440853732063E-2</v>
      </c>
    </row>
    <row r="23" spans="1:34" ht="13.8" thickTop="1" x14ac:dyDescent="0.25">
      <c r="A23" s="597"/>
      <c r="B23" s="335"/>
      <c r="C23" s="335"/>
      <c r="D23" s="335"/>
      <c r="E23" s="335"/>
      <c r="F23" s="335"/>
      <c r="G23" s="335"/>
      <c r="H23" s="335"/>
      <c r="I23" s="335"/>
      <c r="J23" s="598"/>
      <c r="K23" s="328"/>
      <c r="L23" s="328"/>
      <c r="M23" s="328"/>
      <c r="N23" s="328"/>
      <c r="O23" s="328"/>
      <c r="P23" s="328"/>
      <c r="Q23" s="328"/>
      <c r="R23" s="328"/>
      <c r="S23" s="328"/>
      <c r="T23" s="328"/>
      <c r="U23" s="328"/>
      <c r="V23" s="328"/>
      <c r="W23" s="328"/>
      <c r="X23" s="328"/>
      <c r="Y23" s="328"/>
      <c r="Z23" s="328"/>
      <c r="AA23" s="328"/>
      <c r="AB23" s="328"/>
      <c r="AC23" s="328"/>
      <c r="AD23" s="328"/>
      <c r="AE23" s="328"/>
      <c r="AF23" s="328"/>
      <c r="AG23" s="328"/>
      <c r="AH23" s="328"/>
    </row>
    <row r="24" spans="1:34" ht="13.8" thickBot="1" x14ac:dyDescent="0.3">
      <c r="A24" s="597"/>
      <c r="B24" s="335"/>
      <c r="C24" s="335"/>
      <c r="D24" s="335"/>
      <c r="E24" s="335"/>
      <c r="F24" s="335"/>
      <c r="G24" s="335"/>
      <c r="H24" s="335"/>
      <c r="I24" s="335"/>
      <c r="J24" s="598"/>
      <c r="K24" s="328"/>
      <c r="L24" s="328"/>
      <c r="M24" s="328"/>
      <c r="N24" s="328"/>
      <c r="O24" s="328"/>
      <c r="P24" s="328"/>
      <c r="Q24" s="328"/>
      <c r="R24" s="328"/>
      <c r="S24" s="328"/>
      <c r="T24" s="328"/>
      <c r="U24" s="328"/>
      <c r="V24" s="328"/>
      <c r="W24" s="328"/>
      <c r="X24" s="328"/>
      <c r="Y24" s="328"/>
      <c r="Z24" s="328"/>
      <c r="AA24" s="328"/>
      <c r="AB24" s="328"/>
      <c r="AC24" s="328"/>
      <c r="AD24" s="328"/>
      <c r="AE24" s="328"/>
      <c r="AF24" s="328"/>
      <c r="AG24" s="328"/>
      <c r="AH24" s="328"/>
    </row>
    <row r="25" spans="1:34" customFormat="1" ht="18" thickBot="1" x14ac:dyDescent="0.35">
      <c r="A25" s="1718" t="s">
        <v>415</v>
      </c>
      <c r="B25" s="1719"/>
      <c r="C25" s="1719"/>
      <c r="D25" s="1719"/>
      <c r="E25" s="1719"/>
      <c r="F25" s="1719"/>
      <c r="G25" s="1719"/>
      <c r="H25" s="1719"/>
      <c r="I25" s="1719"/>
      <c r="J25" s="1719"/>
      <c r="K25" s="1719"/>
      <c r="L25" s="1719"/>
      <c r="M25" s="1719"/>
      <c r="N25" s="1719"/>
      <c r="O25" s="1719"/>
      <c r="P25" s="1719"/>
      <c r="Q25" s="1719"/>
      <c r="R25" s="1719"/>
      <c r="S25" s="1719"/>
      <c r="T25" s="1719"/>
      <c r="U25" s="1719"/>
      <c r="V25" s="1719"/>
      <c r="W25" s="1719"/>
      <c r="X25" s="1719"/>
      <c r="Y25" s="1719"/>
      <c r="Z25" s="1719"/>
      <c r="AA25" s="1719"/>
      <c r="AB25" s="1719"/>
      <c r="AC25" s="1719"/>
      <c r="AD25" s="1720"/>
    </row>
    <row r="26" spans="1:34" ht="26.4" x14ac:dyDescent="0.25">
      <c r="A26" s="1723" t="s">
        <v>952</v>
      </c>
      <c r="B26" s="148" t="s">
        <v>954</v>
      </c>
      <c r="C26" s="148" t="s">
        <v>955</v>
      </c>
      <c r="D26" s="148" t="s">
        <v>956</v>
      </c>
      <c r="E26" s="820" t="s">
        <v>957</v>
      </c>
      <c r="F26" s="148" t="s">
        <v>954</v>
      </c>
      <c r="G26" s="148" t="s">
        <v>955</v>
      </c>
      <c r="H26" s="148" t="s">
        <v>956</v>
      </c>
      <c r="I26" s="150" t="s">
        <v>957</v>
      </c>
      <c r="J26" s="729" t="s">
        <v>958</v>
      </c>
      <c r="K26" s="148" t="s">
        <v>954</v>
      </c>
      <c r="L26" s="148" t="s">
        <v>955</v>
      </c>
      <c r="M26" s="148" t="s">
        <v>956</v>
      </c>
      <c r="N26" s="150" t="s">
        <v>957</v>
      </c>
      <c r="O26" s="750" t="s">
        <v>958</v>
      </c>
      <c r="P26" s="148" t="s">
        <v>954</v>
      </c>
      <c r="Q26" s="148" t="s">
        <v>955</v>
      </c>
      <c r="R26" s="148" t="s">
        <v>956</v>
      </c>
      <c r="S26" s="150" t="s">
        <v>957</v>
      </c>
      <c r="T26" s="1348" t="s">
        <v>958</v>
      </c>
      <c r="U26" s="148" t="s">
        <v>954</v>
      </c>
      <c r="V26" s="148" t="s">
        <v>955</v>
      </c>
      <c r="W26" s="148" t="s">
        <v>956</v>
      </c>
      <c r="X26" s="150" t="s">
        <v>957</v>
      </c>
      <c r="Y26" s="1277" t="s">
        <v>958</v>
      </c>
      <c r="Z26" s="148" t="s">
        <v>954</v>
      </c>
      <c r="AA26" s="148" t="s">
        <v>955</v>
      </c>
      <c r="AB26" s="148" t="s">
        <v>956</v>
      </c>
      <c r="AC26" s="150" t="s">
        <v>957</v>
      </c>
      <c r="AD26" s="563" t="s">
        <v>958</v>
      </c>
      <c r="AE26" s="328"/>
      <c r="AF26" s="328"/>
      <c r="AG26" s="328"/>
      <c r="AH26" s="328"/>
    </row>
    <row r="27" spans="1:34" x14ac:dyDescent="0.25">
      <c r="A27" s="1724"/>
      <c r="B27" s="740" t="s">
        <v>1441</v>
      </c>
      <c r="C27" s="148"/>
      <c r="D27" s="148"/>
      <c r="E27" s="729"/>
      <c r="F27" s="740" t="s">
        <v>1440</v>
      </c>
      <c r="G27" s="148"/>
      <c r="H27" s="148"/>
      <c r="I27" s="148"/>
      <c r="J27" s="818"/>
      <c r="K27" s="1726" t="s">
        <v>1390</v>
      </c>
      <c r="L27" s="1727"/>
      <c r="M27" s="1727"/>
      <c r="N27" s="1727"/>
      <c r="O27" s="1728"/>
      <c r="P27" s="819" t="s">
        <v>1391</v>
      </c>
      <c r="Q27" s="148"/>
      <c r="R27" s="148"/>
      <c r="S27" s="148"/>
      <c r="T27" s="818"/>
      <c r="U27" s="819" t="s">
        <v>1392</v>
      </c>
      <c r="V27" s="148"/>
      <c r="W27" s="148"/>
      <c r="X27" s="148"/>
      <c r="Y27" s="818"/>
      <c r="Z27" s="819" t="s">
        <v>1517</v>
      </c>
      <c r="AA27" s="148"/>
      <c r="AB27" s="148"/>
      <c r="AC27" s="148"/>
      <c r="AD27" s="741"/>
      <c r="AE27" s="328"/>
      <c r="AF27" s="328"/>
      <c r="AG27" s="328"/>
      <c r="AH27" s="328"/>
    </row>
    <row r="28" spans="1:34" x14ac:dyDescent="0.25">
      <c r="A28" s="576" t="s">
        <v>426</v>
      </c>
      <c r="B28" s="151"/>
      <c r="C28" s="152"/>
      <c r="D28" s="152"/>
      <c r="E28" s="330"/>
      <c r="F28" s="151"/>
      <c r="G28" s="152"/>
      <c r="H28" s="152"/>
      <c r="I28" s="152"/>
      <c r="J28" s="518"/>
      <c r="K28" s="151"/>
      <c r="L28" s="152"/>
      <c r="M28" s="152"/>
      <c r="N28" s="152"/>
      <c r="O28" s="518"/>
      <c r="P28" s="151"/>
      <c r="Q28" s="152"/>
      <c r="R28" s="152"/>
      <c r="S28" s="152"/>
      <c r="T28" s="330"/>
      <c r="U28" s="151"/>
      <c r="V28" s="152"/>
      <c r="W28" s="152"/>
      <c r="X28" s="152"/>
      <c r="Y28" s="518"/>
      <c r="Z28" s="151"/>
      <c r="AA28" s="152"/>
      <c r="AB28" s="152"/>
      <c r="AC28" s="152"/>
      <c r="AD28" s="599"/>
      <c r="AE28" s="328"/>
      <c r="AF28" s="328"/>
      <c r="AG28" s="328"/>
      <c r="AH28" s="328"/>
    </row>
    <row r="29" spans="1:34" x14ac:dyDescent="0.25">
      <c r="A29" s="566" t="s">
        <v>971</v>
      </c>
      <c r="B29" s="1227">
        <v>141</v>
      </c>
      <c r="C29" s="1227">
        <v>310</v>
      </c>
      <c r="D29" s="1228">
        <v>0</v>
      </c>
      <c r="E29" s="331">
        <f t="shared" ref="E29:E36" si="19">SUM(B29:D29)</f>
        <v>451</v>
      </c>
      <c r="F29" s="1227">
        <v>135</v>
      </c>
      <c r="G29" s="1227">
        <v>348</v>
      </c>
      <c r="H29" s="1228">
        <v>0</v>
      </c>
      <c r="I29" s="154">
        <f t="shared" ref="I29:I36" si="20">SUM(F29:H29)</f>
        <v>483</v>
      </c>
      <c r="J29" s="602">
        <f t="shared" ref="J29:J37" si="21">IF(E29&gt;0,(I29-E29)/E29,(IF(I29=0,"N/A",100%)))</f>
        <v>7.0953436807095344E-2</v>
      </c>
      <c r="K29" s="154">
        <v>141</v>
      </c>
      <c r="L29" s="154">
        <v>408</v>
      </c>
      <c r="M29" s="512">
        <v>0</v>
      </c>
      <c r="N29" s="154">
        <f t="shared" ref="N29:N36" si="22">SUM(K29:M29)</f>
        <v>549</v>
      </c>
      <c r="O29" s="602">
        <f t="shared" ref="O29:O37" si="23">IF(I29&gt;0,(N29-I29)/I29,(IF(N29=0,"N/A",100%)))</f>
        <v>0.13664596273291926</v>
      </c>
      <c r="P29" s="154">
        <v>126</v>
      </c>
      <c r="Q29" s="154">
        <v>252</v>
      </c>
      <c r="R29" s="512">
        <v>0</v>
      </c>
      <c r="S29" s="154">
        <f t="shared" ref="S29:S36" si="24">SUM(P29:R29)</f>
        <v>378</v>
      </c>
      <c r="T29" s="602">
        <f t="shared" ref="T29:T37" si="25">IF(N29&gt;0,(S29-N29)/N29,(IF(S29=0,"N/A",100%)))</f>
        <v>-0.31147540983606559</v>
      </c>
      <c r="U29" s="154">
        <v>111</v>
      </c>
      <c r="V29" s="154">
        <v>262</v>
      </c>
      <c r="W29" s="512">
        <v>0</v>
      </c>
      <c r="X29" s="154">
        <f t="shared" ref="X29:X36" si="26">SUM(U29:W29)</f>
        <v>373</v>
      </c>
      <c r="Y29" s="602">
        <f t="shared" ref="Y29:Y37" si="27">IF(S29&gt;0,(X29-S29)/S29,(IF(X29=0,"N/A",100%)))</f>
        <v>-1.3227513227513227E-2</v>
      </c>
      <c r="Z29" s="154">
        <v>156</v>
      </c>
      <c r="AA29" s="154">
        <v>301</v>
      </c>
      <c r="AB29" s="512">
        <v>0</v>
      </c>
      <c r="AC29" s="154">
        <f t="shared" ref="AC29:AC36" si="28">SUM(Z29:AB29)</f>
        <v>457</v>
      </c>
      <c r="AD29" s="600">
        <f t="shared" ref="AD29:AD37" si="29">IF(X29&gt;0,(AC29-X29)/X29,(IF(AC29=0,"N/A",100%)))</f>
        <v>0.22520107238605899</v>
      </c>
      <c r="AE29" s="328"/>
      <c r="AF29" s="328"/>
      <c r="AG29" s="328"/>
      <c r="AH29" s="328"/>
    </row>
    <row r="30" spans="1:34" x14ac:dyDescent="0.25">
      <c r="A30" s="566" t="s">
        <v>972</v>
      </c>
      <c r="B30" s="1227">
        <v>822.5</v>
      </c>
      <c r="C30" s="1227">
        <v>876.5</v>
      </c>
      <c r="D30" s="1228">
        <v>171</v>
      </c>
      <c r="E30" s="331">
        <f t="shared" si="19"/>
        <v>1870</v>
      </c>
      <c r="F30" s="1227">
        <v>795</v>
      </c>
      <c r="G30" s="1227">
        <v>851</v>
      </c>
      <c r="H30" s="1228">
        <v>210</v>
      </c>
      <c r="I30" s="154">
        <f t="shared" si="20"/>
        <v>1856</v>
      </c>
      <c r="J30" s="602">
        <f t="shared" si="21"/>
        <v>-7.4866310160427805E-3</v>
      </c>
      <c r="K30" s="154">
        <v>860.5</v>
      </c>
      <c r="L30" s="154">
        <v>883.5</v>
      </c>
      <c r="M30" s="512">
        <v>87</v>
      </c>
      <c r="N30" s="154">
        <f t="shared" si="22"/>
        <v>1831</v>
      </c>
      <c r="O30" s="602">
        <f t="shared" si="23"/>
        <v>-1.3469827586206896E-2</v>
      </c>
      <c r="P30" s="154">
        <v>1022</v>
      </c>
      <c r="Q30" s="154">
        <v>888</v>
      </c>
      <c r="R30" s="512">
        <v>102</v>
      </c>
      <c r="S30" s="154">
        <f t="shared" si="24"/>
        <v>2012</v>
      </c>
      <c r="T30" s="602">
        <f t="shared" si="25"/>
        <v>9.8853085745494271E-2</v>
      </c>
      <c r="U30" s="154">
        <v>1044</v>
      </c>
      <c r="V30" s="154">
        <v>868</v>
      </c>
      <c r="W30" s="512">
        <v>72</v>
      </c>
      <c r="X30" s="154">
        <f t="shared" si="26"/>
        <v>1984</v>
      </c>
      <c r="Y30" s="602">
        <f t="shared" si="27"/>
        <v>-1.3916500994035786E-2</v>
      </c>
      <c r="Z30" s="154">
        <v>821</v>
      </c>
      <c r="AA30" s="154">
        <v>900</v>
      </c>
      <c r="AB30" s="512">
        <v>162</v>
      </c>
      <c r="AC30" s="154">
        <f t="shared" si="28"/>
        <v>1883</v>
      </c>
      <c r="AD30" s="600">
        <f t="shared" si="29"/>
        <v>-5.0907258064516132E-2</v>
      </c>
      <c r="AE30" s="328"/>
      <c r="AF30" s="328"/>
      <c r="AG30" s="328"/>
      <c r="AH30" s="328"/>
    </row>
    <row r="31" spans="1:34" x14ac:dyDescent="0.25">
      <c r="A31" s="566" t="s">
        <v>973</v>
      </c>
      <c r="B31" s="1227">
        <v>0</v>
      </c>
      <c r="C31" s="1227">
        <v>0</v>
      </c>
      <c r="D31" s="1228">
        <v>0</v>
      </c>
      <c r="E31" s="331">
        <f t="shared" si="19"/>
        <v>0</v>
      </c>
      <c r="F31" s="1227">
        <v>0</v>
      </c>
      <c r="G31" s="1227">
        <v>0</v>
      </c>
      <c r="H31" s="1228">
        <v>0</v>
      </c>
      <c r="I31" s="154">
        <f t="shared" si="20"/>
        <v>0</v>
      </c>
      <c r="J31" s="602" t="str">
        <f t="shared" si="21"/>
        <v>N/A</v>
      </c>
      <c r="K31" s="154">
        <v>0</v>
      </c>
      <c r="L31" s="154">
        <v>0</v>
      </c>
      <c r="M31" s="512">
        <v>0</v>
      </c>
      <c r="N31" s="154">
        <f t="shared" si="22"/>
        <v>0</v>
      </c>
      <c r="O31" s="602" t="str">
        <f t="shared" si="23"/>
        <v>N/A</v>
      </c>
      <c r="P31" s="154">
        <v>0</v>
      </c>
      <c r="Q31" s="154">
        <v>0</v>
      </c>
      <c r="R31" s="512">
        <v>0</v>
      </c>
      <c r="S31" s="154">
        <f t="shared" si="24"/>
        <v>0</v>
      </c>
      <c r="T31" s="602" t="str">
        <f t="shared" si="25"/>
        <v>N/A</v>
      </c>
      <c r="U31" s="154">
        <v>0</v>
      </c>
      <c r="V31" s="154">
        <v>0</v>
      </c>
      <c r="W31" s="512">
        <v>0</v>
      </c>
      <c r="X31" s="154">
        <f t="shared" si="26"/>
        <v>0</v>
      </c>
      <c r="Y31" s="602" t="str">
        <f t="shared" si="27"/>
        <v>N/A</v>
      </c>
      <c r="Z31" s="154">
        <v>0</v>
      </c>
      <c r="AA31" s="154">
        <v>0</v>
      </c>
      <c r="AB31" s="512">
        <v>33</v>
      </c>
      <c r="AC31" s="154">
        <f t="shared" si="28"/>
        <v>33</v>
      </c>
      <c r="AD31" s="600">
        <f t="shared" si="29"/>
        <v>1</v>
      </c>
      <c r="AE31" s="328"/>
      <c r="AF31" s="328"/>
      <c r="AG31" s="328"/>
      <c r="AH31" s="328"/>
    </row>
    <row r="32" spans="1:34" x14ac:dyDescent="0.25">
      <c r="A32" s="979" t="s">
        <v>1405</v>
      </c>
      <c r="B32" s="154">
        <v>0</v>
      </c>
      <c r="C32" s="154">
        <v>0</v>
      </c>
      <c r="D32" s="512">
        <v>0</v>
      </c>
      <c r="E32" s="331">
        <f t="shared" si="19"/>
        <v>0</v>
      </c>
      <c r="F32" s="154">
        <v>0</v>
      </c>
      <c r="G32" s="154">
        <v>0</v>
      </c>
      <c r="H32" s="512">
        <v>0</v>
      </c>
      <c r="I32" s="154">
        <f t="shared" si="20"/>
        <v>0</v>
      </c>
      <c r="J32" s="602" t="str">
        <f t="shared" si="21"/>
        <v>N/A</v>
      </c>
      <c r="K32" s="154">
        <v>0</v>
      </c>
      <c r="L32" s="154">
        <v>0</v>
      </c>
      <c r="M32" s="512">
        <v>0</v>
      </c>
      <c r="N32" s="154">
        <f>SUM(K32:M32)</f>
        <v>0</v>
      </c>
      <c r="O32" s="602" t="str">
        <f>IF(I32&gt;0,(N32-I32)/I32,(IF(N32=0,"N/A",100%)))</f>
        <v>N/A</v>
      </c>
      <c r="P32" s="154">
        <v>0</v>
      </c>
      <c r="Q32" s="154">
        <v>0</v>
      </c>
      <c r="R32" s="512">
        <v>0</v>
      </c>
      <c r="S32" s="154">
        <f t="shared" si="24"/>
        <v>0</v>
      </c>
      <c r="T32" s="602" t="str">
        <f t="shared" si="25"/>
        <v>N/A</v>
      </c>
      <c r="U32" s="154">
        <v>0</v>
      </c>
      <c r="V32" s="154">
        <v>0</v>
      </c>
      <c r="W32" s="512">
        <v>0</v>
      </c>
      <c r="X32" s="154">
        <f t="shared" si="26"/>
        <v>0</v>
      </c>
      <c r="Y32" s="602" t="str">
        <f t="shared" si="27"/>
        <v>N/A</v>
      </c>
      <c r="Z32" s="154">
        <v>0</v>
      </c>
      <c r="AA32" s="154">
        <v>0</v>
      </c>
      <c r="AB32" s="512">
        <v>0</v>
      </c>
      <c r="AC32" s="154">
        <f t="shared" si="28"/>
        <v>0</v>
      </c>
      <c r="AD32" s="600" t="str">
        <f t="shared" si="29"/>
        <v>N/A</v>
      </c>
      <c r="AE32" s="328"/>
      <c r="AF32" s="328"/>
      <c r="AG32" s="328"/>
      <c r="AH32" s="328"/>
    </row>
    <row r="33" spans="1:34" x14ac:dyDescent="0.25">
      <c r="A33" s="979" t="s">
        <v>1406</v>
      </c>
      <c r="B33" s="154">
        <v>0</v>
      </c>
      <c r="C33" s="154">
        <v>0</v>
      </c>
      <c r="D33" s="512">
        <v>0</v>
      </c>
      <c r="E33" s="331">
        <f t="shared" si="19"/>
        <v>0</v>
      </c>
      <c r="F33" s="154">
        <v>0</v>
      </c>
      <c r="G33" s="154">
        <v>0</v>
      </c>
      <c r="H33" s="512">
        <v>0</v>
      </c>
      <c r="I33" s="154">
        <f t="shared" si="20"/>
        <v>0</v>
      </c>
      <c r="J33" s="602" t="str">
        <f t="shared" si="21"/>
        <v>N/A</v>
      </c>
      <c r="K33" s="154">
        <v>0</v>
      </c>
      <c r="L33" s="154">
        <v>0</v>
      </c>
      <c r="M33" s="512">
        <v>0</v>
      </c>
      <c r="N33" s="154">
        <f>SUM(K33:M33)</f>
        <v>0</v>
      </c>
      <c r="O33" s="602" t="str">
        <f>IF(I33&gt;0,(N33-I33)/I33,(IF(N33=0,"N/A",100%)))</f>
        <v>N/A</v>
      </c>
      <c r="P33" s="154">
        <v>0</v>
      </c>
      <c r="Q33" s="154">
        <v>0</v>
      </c>
      <c r="R33" s="512">
        <v>0</v>
      </c>
      <c r="S33" s="154">
        <f t="shared" si="24"/>
        <v>0</v>
      </c>
      <c r="T33" s="602" t="str">
        <f t="shared" si="25"/>
        <v>N/A</v>
      </c>
      <c r="U33" s="154">
        <v>0</v>
      </c>
      <c r="V33" s="154">
        <v>0</v>
      </c>
      <c r="W33" s="512">
        <v>0</v>
      </c>
      <c r="X33" s="154">
        <f t="shared" si="26"/>
        <v>0</v>
      </c>
      <c r="Y33" s="602" t="str">
        <f t="shared" si="27"/>
        <v>N/A</v>
      </c>
      <c r="Z33" s="154">
        <v>0</v>
      </c>
      <c r="AA33" s="154">
        <v>0</v>
      </c>
      <c r="AB33" s="512">
        <v>0</v>
      </c>
      <c r="AC33" s="154">
        <f t="shared" si="28"/>
        <v>0</v>
      </c>
      <c r="AD33" s="600" t="str">
        <f t="shared" si="29"/>
        <v>N/A</v>
      </c>
      <c r="AE33" s="328"/>
      <c r="AF33" s="328"/>
      <c r="AG33" s="328"/>
      <c r="AH33" s="328"/>
    </row>
    <row r="34" spans="1:34" x14ac:dyDescent="0.25">
      <c r="A34" s="979" t="s">
        <v>1097</v>
      </c>
      <c r="B34" s="1227">
        <v>0</v>
      </c>
      <c r="C34" s="1227">
        <v>0</v>
      </c>
      <c r="D34" s="1228">
        <v>0</v>
      </c>
      <c r="E34" s="331">
        <f t="shared" si="19"/>
        <v>0</v>
      </c>
      <c r="F34" s="1227">
        <v>0</v>
      </c>
      <c r="G34" s="1227">
        <v>72</v>
      </c>
      <c r="H34" s="1228">
        <v>72</v>
      </c>
      <c r="I34" s="154">
        <f t="shared" si="20"/>
        <v>144</v>
      </c>
      <c r="J34" s="602">
        <f>IF(E34&gt;0,(I34-E34)/E34,(IF(I34=0,"N/A",100%)))</f>
        <v>1</v>
      </c>
      <c r="K34" s="154">
        <v>0</v>
      </c>
      <c r="L34" s="154">
        <v>45</v>
      </c>
      <c r="M34" s="512">
        <v>78</v>
      </c>
      <c r="N34" s="154">
        <f t="shared" si="22"/>
        <v>123</v>
      </c>
      <c r="O34" s="602">
        <f>IF(I34&gt;0,(N34-I34)/I34,(IF(N34=0,"N/A",100%)))</f>
        <v>-0.14583333333333334</v>
      </c>
      <c r="P34" s="154">
        <v>0</v>
      </c>
      <c r="Q34" s="154">
        <v>27</v>
      </c>
      <c r="R34" s="512">
        <v>192</v>
      </c>
      <c r="S34" s="154">
        <f t="shared" si="24"/>
        <v>219</v>
      </c>
      <c r="T34" s="602">
        <f t="shared" si="25"/>
        <v>0.78048780487804881</v>
      </c>
      <c r="U34" s="154">
        <v>0</v>
      </c>
      <c r="V34" s="154">
        <v>27</v>
      </c>
      <c r="W34" s="512">
        <v>39</v>
      </c>
      <c r="X34" s="154">
        <f t="shared" si="26"/>
        <v>66</v>
      </c>
      <c r="Y34" s="602">
        <f t="shared" si="27"/>
        <v>-0.69863013698630139</v>
      </c>
      <c r="Z34" s="154">
        <v>0</v>
      </c>
      <c r="AA34" s="154">
        <v>51</v>
      </c>
      <c r="AB34" s="512">
        <v>102</v>
      </c>
      <c r="AC34" s="154">
        <f t="shared" si="28"/>
        <v>153</v>
      </c>
      <c r="AD34" s="600">
        <f t="shared" si="29"/>
        <v>1.3181818181818181</v>
      </c>
      <c r="AE34" s="328"/>
      <c r="AF34" s="328"/>
      <c r="AG34" s="328"/>
      <c r="AH34" s="328"/>
    </row>
    <row r="35" spans="1:34" x14ac:dyDescent="0.25">
      <c r="A35" s="566" t="s">
        <v>974</v>
      </c>
      <c r="B35" s="1227">
        <v>162</v>
      </c>
      <c r="C35" s="1227">
        <v>91</v>
      </c>
      <c r="D35" s="1228">
        <v>0</v>
      </c>
      <c r="E35" s="331">
        <f t="shared" si="19"/>
        <v>253</v>
      </c>
      <c r="F35" s="1227">
        <v>168</v>
      </c>
      <c r="G35" s="1227">
        <v>164</v>
      </c>
      <c r="H35" s="1228">
        <v>0</v>
      </c>
      <c r="I35" s="154">
        <f t="shared" si="20"/>
        <v>332</v>
      </c>
      <c r="J35" s="602">
        <f t="shared" si="21"/>
        <v>0.31225296442687744</v>
      </c>
      <c r="K35" s="154">
        <v>255</v>
      </c>
      <c r="L35" s="154">
        <v>88</v>
      </c>
      <c r="M35" s="512">
        <v>0</v>
      </c>
      <c r="N35" s="154">
        <f t="shared" si="22"/>
        <v>343</v>
      </c>
      <c r="O35" s="602">
        <f t="shared" si="23"/>
        <v>3.313253012048193E-2</v>
      </c>
      <c r="P35" s="154">
        <v>300</v>
      </c>
      <c r="Q35" s="154">
        <v>114</v>
      </c>
      <c r="R35" s="512">
        <v>0</v>
      </c>
      <c r="S35" s="154">
        <f t="shared" si="24"/>
        <v>414</v>
      </c>
      <c r="T35" s="602">
        <f t="shared" si="25"/>
        <v>0.20699708454810495</v>
      </c>
      <c r="U35" s="154">
        <v>300</v>
      </c>
      <c r="V35" s="154">
        <v>164</v>
      </c>
      <c r="W35" s="512">
        <v>0</v>
      </c>
      <c r="X35" s="154">
        <f t="shared" si="26"/>
        <v>464</v>
      </c>
      <c r="Y35" s="602">
        <f t="shared" si="27"/>
        <v>0.12077294685990338</v>
      </c>
      <c r="Z35" s="154">
        <v>246</v>
      </c>
      <c r="AA35" s="154">
        <v>116</v>
      </c>
      <c r="AB35" s="512">
        <v>0</v>
      </c>
      <c r="AC35" s="154">
        <f t="shared" si="28"/>
        <v>362</v>
      </c>
      <c r="AD35" s="600">
        <f t="shared" si="29"/>
        <v>-0.21982758620689655</v>
      </c>
      <c r="AE35" s="328"/>
      <c r="AF35" s="328"/>
      <c r="AG35" s="328"/>
      <c r="AH35" s="328"/>
    </row>
    <row r="36" spans="1:34" x14ac:dyDescent="0.25">
      <c r="A36" s="566" t="s">
        <v>975</v>
      </c>
      <c r="B36" s="1227">
        <v>9</v>
      </c>
      <c r="C36" s="1227">
        <v>0</v>
      </c>
      <c r="D36" s="1228">
        <v>0</v>
      </c>
      <c r="E36" s="331">
        <f t="shared" si="19"/>
        <v>9</v>
      </c>
      <c r="F36" s="1227">
        <v>19</v>
      </c>
      <c r="G36" s="1227">
        <v>22</v>
      </c>
      <c r="H36" s="1228">
        <v>0</v>
      </c>
      <c r="I36" s="154">
        <f t="shared" si="20"/>
        <v>41</v>
      </c>
      <c r="J36" s="602">
        <f t="shared" si="21"/>
        <v>3.5555555555555554</v>
      </c>
      <c r="K36" s="154">
        <v>9</v>
      </c>
      <c r="L36" s="154">
        <v>17</v>
      </c>
      <c r="M36" s="512">
        <v>0</v>
      </c>
      <c r="N36" s="154">
        <f t="shared" si="22"/>
        <v>26</v>
      </c>
      <c r="O36" s="602">
        <f t="shared" si="23"/>
        <v>-0.36585365853658536</v>
      </c>
      <c r="P36" s="154">
        <v>15</v>
      </c>
      <c r="Q36" s="154">
        <v>14</v>
      </c>
      <c r="R36" s="512">
        <v>0</v>
      </c>
      <c r="S36" s="154">
        <f t="shared" si="24"/>
        <v>29</v>
      </c>
      <c r="T36" s="602">
        <f t="shared" si="25"/>
        <v>0.11538461538461539</v>
      </c>
      <c r="U36" s="154">
        <v>20</v>
      </c>
      <c r="V36" s="154">
        <v>13</v>
      </c>
      <c r="W36" s="512">
        <v>0</v>
      </c>
      <c r="X36" s="154">
        <f t="shared" si="26"/>
        <v>33</v>
      </c>
      <c r="Y36" s="602">
        <f t="shared" si="27"/>
        <v>0.13793103448275862</v>
      </c>
      <c r="Z36" s="154">
        <v>22</v>
      </c>
      <c r="AA36" s="154">
        <v>15</v>
      </c>
      <c r="AB36" s="512">
        <v>0</v>
      </c>
      <c r="AC36" s="154">
        <f t="shared" si="28"/>
        <v>37</v>
      </c>
      <c r="AD36" s="600">
        <f t="shared" si="29"/>
        <v>0.12121212121212122</v>
      </c>
      <c r="AE36" s="328"/>
      <c r="AF36" s="328"/>
      <c r="AG36" s="328"/>
      <c r="AH36" s="328"/>
    </row>
    <row r="37" spans="1:34" s="575" customFormat="1" ht="13.8" x14ac:dyDescent="0.25">
      <c r="A37" s="641" t="s">
        <v>961</v>
      </c>
      <c r="B37" s="585">
        <f t="shared" ref="B37:I37" si="30">SUM(B29:B36)</f>
        <v>1134.5</v>
      </c>
      <c r="C37" s="586">
        <f t="shared" si="30"/>
        <v>1277.5</v>
      </c>
      <c r="D37" s="586">
        <f t="shared" si="30"/>
        <v>171</v>
      </c>
      <c r="E37" s="587">
        <f t="shared" si="30"/>
        <v>2583</v>
      </c>
      <c r="F37" s="585">
        <f t="shared" si="30"/>
        <v>1117</v>
      </c>
      <c r="G37" s="586">
        <f t="shared" si="30"/>
        <v>1457</v>
      </c>
      <c r="H37" s="586">
        <f t="shared" si="30"/>
        <v>282</v>
      </c>
      <c r="I37" s="586">
        <f t="shared" si="30"/>
        <v>2856</v>
      </c>
      <c r="J37" s="588">
        <f t="shared" si="21"/>
        <v>0.10569105691056911</v>
      </c>
      <c r="K37" s="585">
        <f>SUM(K29:K36)</f>
        <v>1265.5</v>
      </c>
      <c r="L37" s="586">
        <f>SUM(L29:L36)</f>
        <v>1441.5</v>
      </c>
      <c r="M37" s="586">
        <f>SUM(M29:M36)</f>
        <v>165</v>
      </c>
      <c r="N37" s="586">
        <f>SUM(N29:N36)</f>
        <v>2872</v>
      </c>
      <c r="O37" s="588">
        <f t="shared" si="23"/>
        <v>5.6022408963585435E-3</v>
      </c>
      <c r="P37" s="585">
        <f>SUM(P29:P36)</f>
        <v>1463</v>
      </c>
      <c r="Q37" s="586">
        <f>SUM(Q29:Q36)</f>
        <v>1295</v>
      </c>
      <c r="R37" s="586">
        <f>SUM(R29:R36)</f>
        <v>294</v>
      </c>
      <c r="S37" s="586">
        <f>SUM(S29:S36)</f>
        <v>3052</v>
      </c>
      <c r="T37" s="588">
        <f t="shared" si="25"/>
        <v>6.2674094707520889E-2</v>
      </c>
      <c r="U37" s="585">
        <f>SUM(U29:U36)</f>
        <v>1475</v>
      </c>
      <c r="V37" s="586">
        <f>SUM(V29:V36)</f>
        <v>1334</v>
      </c>
      <c r="W37" s="586">
        <f>SUM(W29:W36)</f>
        <v>111</v>
      </c>
      <c r="X37" s="586">
        <f>SUM(X29:X36)</f>
        <v>2920</v>
      </c>
      <c r="Y37" s="588">
        <f t="shared" si="27"/>
        <v>-4.3250327653997382E-2</v>
      </c>
      <c r="Z37" s="585">
        <f>SUM(Z29:Z36)</f>
        <v>1245</v>
      </c>
      <c r="AA37" s="586">
        <f>SUM(AA29:AA36)</f>
        <v>1383</v>
      </c>
      <c r="AB37" s="586">
        <f>SUM(AB29:AB36)</f>
        <v>297</v>
      </c>
      <c r="AC37" s="586">
        <f>SUM(AC29:AC36)</f>
        <v>2925</v>
      </c>
      <c r="AD37" s="589">
        <f t="shared" si="29"/>
        <v>1.7123287671232876E-3</v>
      </c>
    </row>
    <row r="38" spans="1:34" x14ac:dyDescent="0.25">
      <c r="A38" s="576" t="s">
        <v>427</v>
      </c>
      <c r="B38" s="1088"/>
      <c r="C38" s="1088"/>
      <c r="D38" s="1088"/>
      <c r="E38" s="518"/>
      <c r="F38" s="605"/>
      <c r="G38" s="578"/>
      <c r="H38" s="578"/>
      <c r="I38" s="578"/>
      <c r="J38" s="518"/>
      <c r="K38" s="605"/>
      <c r="L38" s="578"/>
      <c r="M38" s="578"/>
      <c r="N38" s="578"/>
      <c r="O38" s="518"/>
      <c r="P38" s="605"/>
      <c r="Q38" s="578"/>
      <c r="R38" s="578"/>
      <c r="S38" s="578"/>
      <c r="T38" s="518"/>
      <c r="U38" s="605"/>
      <c r="V38" s="578"/>
      <c r="W38" s="578"/>
      <c r="X38" s="578"/>
      <c r="Y38" s="518"/>
      <c r="Z38" s="605"/>
      <c r="AA38" s="578"/>
      <c r="AB38" s="578"/>
      <c r="AC38" s="578"/>
      <c r="AD38" s="599"/>
      <c r="AE38" s="328"/>
      <c r="AF38" s="328"/>
      <c r="AG38" s="328"/>
      <c r="AH38" s="328"/>
    </row>
    <row r="39" spans="1:34" x14ac:dyDescent="0.25">
      <c r="A39" s="603" t="s">
        <v>1005</v>
      </c>
      <c r="B39" s="1229">
        <v>1431</v>
      </c>
      <c r="C39" s="1230">
        <v>567</v>
      </c>
      <c r="D39" s="1228">
        <v>0</v>
      </c>
      <c r="E39" s="375">
        <f>SUM(B39:D39)</f>
        <v>1998</v>
      </c>
      <c r="F39" s="1229">
        <v>1549</v>
      </c>
      <c r="G39" s="1230">
        <v>660</v>
      </c>
      <c r="H39" s="1228">
        <v>0</v>
      </c>
      <c r="I39" s="581">
        <f>SUM(F39:H39)</f>
        <v>2209</v>
      </c>
      <c r="J39" s="582">
        <f>IF(E39&gt;0,(I39-E39)/E39,(IF(I39=0,"N/A",100%)))</f>
        <v>0.10560560560560561</v>
      </c>
      <c r="K39" s="580">
        <v>2176</v>
      </c>
      <c r="L39" s="581">
        <v>650</v>
      </c>
      <c r="M39" s="512">
        <v>0</v>
      </c>
      <c r="N39" s="581">
        <f>SUM(K39:M39)</f>
        <v>2826</v>
      </c>
      <c r="O39" s="582">
        <f>IF(I39&gt;0,(N39-I39)/I39,(IF(N39=0,"N/A",100%)))</f>
        <v>0.27931190583974647</v>
      </c>
      <c r="P39" s="580">
        <v>1881</v>
      </c>
      <c r="Q39" s="581">
        <v>840</v>
      </c>
      <c r="R39" s="512">
        <v>0</v>
      </c>
      <c r="S39" s="581">
        <f>SUM(P39:R39)</f>
        <v>2721</v>
      </c>
      <c r="T39" s="582">
        <f>IF(N39&gt;0,(S39-N39)/N39,(IF(S39=0,"N/A",100%)))</f>
        <v>-3.7154989384288746E-2</v>
      </c>
      <c r="U39" s="580">
        <v>1863</v>
      </c>
      <c r="V39" s="581">
        <v>895</v>
      </c>
      <c r="W39" s="512">
        <v>0</v>
      </c>
      <c r="X39" s="581">
        <f>SUM(U39:W39)</f>
        <v>2758</v>
      </c>
      <c r="Y39" s="582">
        <f>IF(S39&gt;0,(X39-S39)/S39,(IF(X39=0,"N/A",100%)))</f>
        <v>1.3597941933112825E-2</v>
      </c>
      <c r="Z39" s="580">
        <v>1833</v>
      </c>
      <c r="AA39" s="581">
        <v>963</v>
      </c>
      <c r="AB39" s="512">
        <v>6</v>
      </c>
      <c r="AC39" s="581">
        <f>SUM(Z39:AB39)</f>
        <v>2802</v>
      </c>
      <c r="AD39" s="583">
        <f>IF(X39&gt;0,(AC39-X39)/X39,(IF(AC39=0,"N/A",100%)))</f>
        <v>1.5953589557650472E-2</v>
      </c>
      <c r="AE39" s="328"/>
      <c r="AF39" s="328"/>
      <c r="AG39" s="328"/>
      <c r="AH39" s="328"/>
    </row>
    <row r="40" spans="1:34" x14ac:dyDescent="0.25">
      <c r="A40" s="576" t="s">
        <v>417</v>
      </c>
      <c r="B40" s="1231"/>
      <c r="C40" s="1232"/>
      <c r="D40" s="1232"/>
      <c r="E40" s="518"/>
      <c r="F40" s="1231"/>
      <c r="G40" s="1232"/>
      <c r="H40" s="1232"/>
      <c r="I40" s="578"/>
      <c r="J40" s="518"/>
      <c r="K40" s="1088"/>
      <c r="L40" s="1088"/>
      <c r="M40" s="1088"/>
      <c r="N40" s="578"/>
      <c r="O40" s="518"/>
      <c r="P40" s="605"/>
      <c r="Q40" s="578"/>
      <c r="R40" s="578"/>
      <c r="S40" s="578"/>
      <c r="T40" s="518"/>
      <c r="U40" s="605"/>
      <c r="V40" s="578"/>
      <c r="W40" s="578"/>
      <c r="X40" s="578"/>
      <c r="Y40" s="518"/>
      <c r="Z40" s="605"/>
      <c r="AA40" s="578"/>
      <c r="AB40" s="578"/>
      <c r="AC40" s="578"/>
      <c r="AD40" s="599"/>
      <c r="AE40" s="328"/>
      <c r="AF40" s="328"/>
      <c r="AG40" s="328"/>
      <c r="AH40" s="328"/>
    </row>
    <row r="41" spans="1:34" x14ac:dyDescent="0.25">
      <c r="A41" s="566" t="s">
        <v>959</v>
      </c>
      <c r="B41" s="1229">
        <v>1198</v>
      </c>
      <c r="C41" s="1230">
        <v>781</v>
      </c>
      <c r="D41" s="1228">
        <v>0</v>
      </c>
      <c r="E41" s="375">
        <f>SUM(B41:D41)</f>
        <v>1979</v>
      </c>
      <c r="F41" s="1229">
        <v>1156</v>
      </c>
      <c r="G41" s="1230">
        <v>513</v>
      </c>
      <c r="H41" s="1228">
        <v>0</v>
      </c>
      <c r="I41" s="581">
        <f>SUM(F41:H41)</f>
        <v>1669</v>
      </c>
      <c r="J41" s="582">
        <f>IF(E41&gt;0,(I41-E41)/E41,(IF(I41=0,"N/A",100%)))</f>
        <v>-0.15664477008590197</v>
      </c>
      <c r="K41" s="580">
        <v>1229</v>
      </c>
      <c r="L41" s="581">
        <v>566</v>
      </c>
      <c r="M41" s="512">
        <v>0</v>
      </c>
      <c r="N41" s="581">
        <f>SUM(K41:M41)</f>
        <v>1795</v>
      </c>
      <c r="O41" s="582">
        <f>IF(I41&gt;0,(N41-I41)/I41,(IF(N41=0,"N/A",100%)))</f>
        <v>7.5494307968843613E-2</v>
      </c>
      <c r="P41" s="580">
        <v>1655</v>
      </c>
      <c r="Q41" s="581">
        <v>517</v>
      </c>
      <c r="R41" s="512">
        <v>0</v>
      </c>
      <c r="S41" s="581">
        <f>SUM(P41:R41)</f>
        <v>2172</v>
      </c>
      <c r="T41" s="582">
        <f>IF(N41&gt;0,(S41-N41)/N41,(IF(S41=0,"N/A",100%)))</f>
        <v>0.21002785515320335</v>
      </c>
      <c r="U41" s="580">
        <v>1724</v>
      </c>
      <c r="V41" s="581">
        <v>691</v>
      </c>
      <c r="W41" s="512">
        <v>0</v>
      </c>
      <c r="X41" s="581">
        <f>SUM(U41:W41)</f>
        <v>2415</v>
      </c>
      <c r="Y41" s="582">
        <f>IF(S41&gt;0,(X41-S41)/S41,(IF(X41=0,"N/A",100%)))</f>
        <v>0.11187845303867404</v>
      </c>
      <c r="Z41" s="580">
        <v>1344</v>
      </c>
      <c r="AA41" s="581">
        <v>687</v>
      </c>
      <c r="AB41" s="512">
        <v>0</v>
      </c>
      <c r="AC41" s="581">
        <f>SUM(Z41:AB41)</f>
        <v>2031</v>
      </c>
      <c r="AD41" s="583">
        <f>IF(X41&gt;0,(AC41-X41)/X41,(IF(AC41=0,"N/A",100%)))</f>
        <v>-0.15900621118012423</v>
      </c>
      <c r="AE41" s="328"/>
      <c r="AF41" s="328"/>
      <c r="AG41" s="328"/>
      <c r="AH41" s="328"/>
    </row>
    <row r="42" spans="1:34" s="596" customFormat="1" ht="16.2" thickBot="1" x14ac:dyDescent="0.35">
      <c r="A42" s="590" t="s">
        <v>418</v>
      </c>
      <c r="B42" s="591">
        <f t="shared" ref="B42:I42" si="31">B41+B39+B37</f>
        <v>3763.5</v>
      </c>
      <c r="C42" s="591">
        <f t="shared" si="31"/>
        <v>2625.5</v>
      </c>
      <c r="D42" s="591">
        <f t="shared" si="31"/>
        <v>171</v>
      </c>
      <c r="E42" s="593">
        <f t="shared" si="31"/>
        <v>6560</v>
      </c>
      <c r="F42" s="591">
        <f>F41+F39+F37</f>
        <v>3822</v>
      </c>
      <c r="G42" s="591">
        <f>G41+G39+G37</f>
        <v>2630</v>
      </c>
      <c r="H42" s="591">
        <f>H41+H39+H37</f>
        <v>282</v>
      </c>
      <c r="I42" s="591">
        <f t="shared" si="31"/>
        <v>6734</v>
      </c>
      <c r="J42" s="594">
        <f>IF(E42&gt;0,(I42-E42)/E42,(IF(I42=0,"N/A",100%)))</f>
        <v>2.6524390243902438E-2</v>
      </c>
      <c r="K42" s="591">
        <f>K41+K39+K37</f>
        <v>4670.5</v>
      </c>
      <c r="L42" s="591">
        <f>L41+L39+L37</f>
        <v>2657.5</v>
      </c>
      <c r="M42" s="591">
        <f>M41+M39+M37</f>
        <v>165</v>
      </c>
      <c r="N42" s="591">
        <f>N41+N39+N37</f>
        <v>7493</v>
      </c>
      <c r="O42" s="594">
        <f>IF(I42&gt;0,(N42-I42)/I42,(IF(N42=0,"N/A",100%)))</f>
        <v>0.11271161271161272</v>
      </c>
      <c r="P42" s="591">
        <f>P41+P39+P37</f>
        <v>4999</v>
      </c>
      <c r="Q42" s="591">
        <f>Q41+Q39+Q37</f>
        <v>2652</v>
      </c>
      <c r="R42" s="591">
        <f>R41+R39+R37</f>
        <v>294</v>
      </c>
      <c r="S42" s="591">
        <f>S41+S39+S37</f>
        <v>7945</v>
      </c>
      <c r="T42" s="594">
        <f>IF(N42&gt;0,(S42-N42)/N42,(IF(S42=0,"N/A",100%)))</f>
        <v>6.0322968103563329E-2</v>
      </c>
      <c r="U42" s="591">
        <f>U41+U39+U37</f>
        <v>5062</v>
      </c>
      <c r="V42" s="591">
        <f>V41+V39+V37</f>
        <v>2920</v>
      </c>
      <c r="W42" s="591">
        <f>W41+W39+W37</f>
        <v>111</v>
      </c>
      <c r="X42" s="591">
        <f>X41+X39+X37</f>
        <v>8093</v>
      </c>
      <c r="Y42" s="594">
        <f>IF(S42&gt;0,(X42-S42)/S42,(IF(X42=0,"N/A",100%)))</f>
        <v>1.8628067967275015E-2</v>
      </c>
      <c r="Z42" s="591">
        <f>Z41+Z39+Z37</f>
        <v>4422</v>
      </c>
      <c r="AA42" s="591">
        <f>AA41+AA39+AA37</f>
        <v>3033</v>
      </c>
      <c r="AB42" s="591">
        <f>AB41+AB39+AB37</f>
        <v>303</v>
      </c>
      <c r="AC42" s="591">
        <f>AC41+AC39+AC37</f>
        <v>7758</v>
      </c>
      <c r="AD42" s="595">
        <f>IF(X42&gt;0,(AC42-X42)/X42,(IF(AC42=0,"N/A",100%)))</f>
        <v>-4.1393797108612379E-2</v>
      </c>
    </row>
    <row r="43" spans="1:34" ht="14.25" customHeight="1" thickTop="1" x14ac:dyDescent="0.25">
      <c r="A43" s="604"/>
      <c r="B43" s="335"/>
      <c r="C43" s="335"/>
      <c r="D43" s="335"/>
      <c r="E43" s="335"/>
      <c r="F43" s="335"/>
      <c r="G43" s="335"/>
      <c r="H43" s="335"/>
      <c r="I43" s="335"/>
      <c r="J43" s="328"/>
      <c r="K43" s="328"/>
      <c r="L43" s="328"/>
      <c r="M43" s="328"/>
      <c r="N43" s="328"/>
      <c r="O43" s="328"/>
      <c r="P43" s="328"/>
      <c r="Q43" s="328"/>
      <c r="R43" s="328"/>
      <c r="S43" s="328"/>
      <c r="T43" s="328"/>
      <c r="U43" s="328"/>
      <c r="V43" s="328"/>
      <c r="W43" s="328"/>
      <c r="X43" s="328"/>
      <c r="Y43" s="328"/>
      <c r="Z43" s="328"/>
      <c r="AA43" s="328"/>
      <c r="AB43" s="328"/>
      <c r="AC43" s="328"/>
      <c r="AD43" s="328"/>
      <c r="AE43" s="328"/>
      <c r="AF43" s="328"/>
      <c r="AG43" s="328"/>
      <c r="AH43" s="328"/>
    </row>
    <row r="44" spans="1:34" ht="14.25" customHeight="1" thickBot="1" x14ac:dyDescent="0.3">
      <c r="A44" s="604"/>
      <c r="B44" s="335"/>
      <c r="C44" s="335"/>
      <c r="D44" s="335"/>
      <c r="E44" s="335"/>
      <c r="F44" s="335"/>
      <c r="G44" s="335"/>
      <c r="H44" s="335"/>
      <c r="I44" s="335"/>
      <c r="J44" s="328"/>
      <c r="K44" s="328"/>
      <c r="L44" s="328"/>
      <c r="M44" s="328"/>
      <c r="N44" s="328"/>
      <c r="O44" s="328"/>
      <c r="P44" s="328"/>
      <c r="Q44" s="328"/>
      <c r="R44" s="328"/>
      <c r="S44" s="328"/>
      <c r="T44" s="328"/>
      <c r="U44" s="328"/>
      <c r="V44" s="328"/>
      <c r="W44" s="328"/>
      <c r="X44" s="328"/>
      <c r="Y44" s="328"/>
      <c r="Z44" s="328"/>
      <c r="AA44" s="328"/>
      <c r="AB44" s="328"/>
      <c r="AC44" s="328"/>
      <c r="AD44" s="328"/>
      <c r="AE44" s="328"/>
      <c r="AF44" s="328"/>
      <c r="AG44" s="328"/>
      <c r="AH44" s="328"/>
    </row>
    <row r="45" spans="1:34" customFormat="1" ht="18" thickBot="1" x14ac:dyDescent="0.35">
      <c r="A45" s="1718" t="s">
        <v>407</v>
      </c>
      <c r="B45" s="1719"/>
      <c r="C45" s="1719"/>
      <c r="D45" s="1719"/>
      <c r="E45" s="1719"/>
      <c r="F45" s="1719"/>
      <c r="G45" s="1719"/>
      <c r="H45" s="1719"/>
      <c r="I45" s="1719"/>
      <c r="J45" s="1719"/>
      <c r="K45" s="1719"/>
      <c r="L45" s="1719"/>
      <c r="M45" s="1719"/>
      <c r="N45" s="1719"/>
      <c r="O45" s="1719"/>
      <c r="P45" s="1719"/>
      <c r="Q45" s="1719"/>
      <c r="R45" s="1719"/>
      <c r="S45" s="1719"/>
      <c r="T45" s="1719"/>
      <c r="U45" s="1719"/>
      <c r="V45" s="1719"/>
      <c r="W45" s="1719"/>
      <c r="X45" s="1719"/>
      <c r="Y45" s="1719"/>
      <c r="Z45" s="1719"/>
      <c r="AA45" s="1719"/>
      <c r="AB45" s="1719"/>
      <c r="AC45" s="1719"/>
      <c r="AD45" s="1720"/>
    </row>
    <row r="46" spans="1:34" ht="26.4" x14ac:dyDescent="0.25">
      <c r="A46" s="1723" t="s">
        <v>952</v>
      </c>
      <c r="B46" s="148" t="s">
        <v>954</v>
      </c>
      <c r="C46" s="148" t="s">
        <v>955</v>
      </c>
      <c r="D46" s="148" t="s">
        <v>956</v>
      </c>
      <c r="E46" s="820" t="s">
        <v>957</v>
      </c>
      <c r="F46" s="148" t="s">
        <v>954</v>
      </c>
      <c r="G46" s="148" t="s">
        <v>955</v>
      </c>
      <c r="H46" s="148" t="s">
        <v>956</v>
      </c>
      <c r="I46" s="150" t="s">
        <v>957</v>
      </c>
      <c r="J46" s="729" t="s">
        <v>958</v>
      </c>
      <c r="K46" s="148" t="s">
        <v>954</v>
      </c>
      <c r="L46" s="148" t="s">
        <v>955</v>
      </c>
      <c r="M46" s="148" t="s">
        <v>956</v>
      </c>
      <c r="N46" s="150" t="s">
        <v>957</v>
      </c>
      <c r="O46" s="750" t="s">
        <v>958</v>
      </c>
      <c r="P46" s="148" t="s">
        <v>954</v>
      </c>
      <c r="Q46" s="148" t="s">
        <v>955</v>
      </c>
      <c r="R46" s="148" t="s">
        <v>956</v>
      </c>
      <c r="S46" s="150" t="s">
        <v>957</v>
      </c>
      <c r="T46" s="1348" t="s">
        <v>958</v>
      </c>
      <c r="U46" s="148" t="s">
        <v>954</v>
      </c>
      <c r="V46" s="148" t="s">
        <v>955</v>
      </c>
      <c r="W46" s="148" t="s">
        <v>956</v>
      </c>
      <c r="X46" s="1263" t="s">
        <v>957</v>
      </c>
      <c r="Y46" s="1277" t="s">
        <v>958</v>
      </c>
      <c r="Z46" s="148" t="s">
        <v>954</v>
      </c>
      <c r="AA46" s="148" t="s">
        <v>955</v>
      </c>
      <c r="AB46" s="148" t="s">
        <v>956</v>
      </c>
      <c r="AC46" s="150" t="s">
        <v>957</v>
      </c>
      <c r="AD46" s="563" t="s">
        <v>958</v>
      </c>
      <c r="AE46" s="328"/>
      <c r="AF46" s="328"/>
      <c r="AG46" s="328"/>
      <c r="AH46" s="328"/>
    </row>
    <row r="47" spans="1:34" x14ac:dyDescent="0.25">
      <c r="A47" s="1724"/>
      <c r="B47" s="740" t="s">
        <v>1441</v>
      </c>
      <c r="C47" s="148"/>
      <c r="D47" s="148"/>
      <c r="E47" s="729"/>
      <c r="F47" s="740" t="s">
        <v>1440</v>
      </c>
      <c r="G47" s="148"/>
      <c r="H47" s="148"/>
      <c r="I47" s="148"/>
      <c r="J47" s="818"/>
      <c r="K47" s="1726" t="s">
        <v>1390</v>
      </c>
      <c r="L47" s="1727"/>
      <c r="M47" s="1727"/>
      <c r="N47" s="1727"/>
      <c r="O47" s="1728"/>
      <c r="P47" s="819" t="s">
        <v>1391</v>
      </c>
      <c r="Q47" s="148"/>
      <c r="R47" s="148"/>
      <c r="S47" s="148"/>
      <c r="T47" s="818"/>
      <c r="U47" s="819" t="s">
        <v>1392</v>
      </c>
      <c r="V47" s="148"/>
      <c r="W47" s="148"/>
      <c r="X47" s="1349"/>
      <c r="Y47" s="818"/>
      <c r="Z47" s="819" t="s">
        <v>1517</v>
      </c>
      <c r="AA47" s="148"/>
      <c r="AB47" s="148"/>
      <c r="AC47" s="148"/>
      <c r="AD47" s="741"/>
      <c r="AE47" s="328"/>
      <c r="AF47" s="328"/>
      <c r="AG47" s="328"/>
      <c r="AH47" s="328"/>
    </row>
    <row r="48" spans="1:34" s="146" customFormat="1" x14ac:dyDescent="0.25">
      <c r="A48" s="576" t="s">
        <v>408</v>
      </c>
      <c r="B48" s="605"/>
      <c r="C48" s="606"/>
      <c r="D48" s="606"/>
      <c r="E48" s="518"/>
      <c r="F48" s="605"/>
      <c r="G48" s="606"/>
      <c r="H48" s="606"/>
      <c r="I48" s="606"/>
      <c r="J48" s="518"/>
      <c r="K48" s="605"/>
      <c r="L48" s="606"/>
      <c r="M48" s="606"/>
      <c r="N48" s="606"/>
      <c r="O48" s="607"/>
      <c r="P48" s="605"/>
      <c r="Q48" s="606"/>
      <c r="R48" s="606"/>
      <c r="S48" s="606"/>
      <c r="T48" s="153"/>
      <c r="U48" s="605"/>
      <c r="V48" s="606"/>
      <c r="W48" s="606"/>
      <c r="X48" s="1248"/>
      <c r="Y48" s="518"/>
      <c r="Z48" s="605"/>
      <c r="AA48" s="606"/>
      <c r="AB48" s="606"/>
      <c r="AC48" s="606"/>
      <c r="AD48" s="608"/>
      <c r="AE48" s="822"/>
      <c r="AF48" s="822"/>
      <c r="AG48" s="822"/>
      <c r="AH48" s="822"/>
    </row>
    <row r="49" spans="1:34" x14ac:dyDescent="0.25">
      <c r="A49" s="566" t="s">
        <v>976</v>
      </c>
      <c r="B49" s="1227">
        <v>987</v>
      </c>
      <c r="C49" s="1227">
        <v>361</v>
      </c>
      <c r="D49" s="1228">
        <v>90</v>
      </c>
      <c r="E49" s="331">
        <f>SUM(B49:D49)</f>
        <v>1438</v>
      </c>
      <c r="F49" s="1227">
        <v>969</v>
      </c>
      <c r="G49" s="1227">
        <v>593</v>
      </c>
      <c r="H49" s="1228">
        <v>126</v>
      </c>
      <c r="I49" s="154">
        <f>SUM(F49:H49)</f>
        <v>1688</v>
      </c>
      <c r="J49" s="602">
        <f>IF(E49&gt;0,(I49-E49)/E49,(IF(I49=0,"N/A",100%)))</f>
        <v>0.17385257301808066</v>
      </c>
      <c r="K49" s="154">
        <v>1098</v>
      </c>
      <c r="L49" s="154">
        <v>523</v>
      </c>
      <c r="M49" s="512">
        <v>45</v>
      </c>
      <c r="N49" s="154">
        <f>SUM(K49:M49)</f>
        <v>1666</v>
      </c>
      <c r="O49" s="155">
        <f>IF(I49&gt;0,(N49-I49)/I49,(IF(N49=0,"N/A",100%)))</f>
        <v>-1.3033175355450236E-2</v>
      </c>
      <c r="P49" s="154">
        <v>1494</v>
      </c>
      <c r="Q49" s="154">
        <v>383</v>
      </c>
      <c r="R49" s="512">
        <v>108</v>
      </c>
      <c r="S49" s="154">
        <f>SUM(P49:R49)</f>
        <v>1985</v>
      </c>
      <c r="T49" s="155">
        <f>IF(N49&gt;0,(S49-N49)/N49,(IF(S49=0,"N/A",100%)))</f>
        <v>0.1914765906362545</v>
      </c>
      <c r="U49" s="154">
        <v>1566</v>
      </c>
      <c r="V49" s="154">
        <v>451</v>
      </c>
      <c r="W49" s="512">
        <v>45</v>
      </c>
      <c r="X49" s="980">
        <f>SUM(U49:W49)</f>
        <v>2062</v>
      </c>
      <c r="Y49" s="602">
        <f>IF(S49&gt;0,(X49-S49)/S49,(IF(X49=0,"N/A",100%)))</f>
        <v>3.8790931989924435E-2</v>
      </c>
      <c r="Z49" s="154">
        <v>1272</v>
      </c>
      <c r="AA49" s="154">
        <v>524</v>
      </c>
      <c r="AB49" s="512">
        <v>63</v>
      </c>
      <c r="AC49" s="154">
        <f>SUM(Z49:AB49)</f>
        <v>1859</v>
      </c>
      <c r="AD49" s="567">
        <f>IF(X49&gt;0,(AC49-X49)/X49,(IF(AC49=0,"N/A",100%)))</f>
        <v>-9.8448108632395726E-2</v>
      </c>
      <c r="AE49" s="328"/>
      <c r="AF49" s="328"/>
      <c r="AG49" s="328"/>
      <c r="AH49" s="328"/>
    </row>
    <row r="50" spans="1:34" x14ac:dyDescent="0.25">
      <c r="A50" s="566" t="s">
        <v>977</v>
      </c>
      <c r="B50" s="1227">
        <v>10</v>
      </c>
      <c r="C50" s="1227">
        <v>24</v>
      </c>
      <c r="D50" s="1228">
        <v>0</v>
      </c>
      <c r="E50" s="331">
        <f>SUM(B50:D50)</f>
        <v>34</v>
      </c>
      <c r="F50" s="1227">
        <v>118</v>
      </c>
      <c r="G50" s="1227">
        <v>10</v>
      </c>
      <c r="H50" s="1228">
        <v>0</v>
      </c>
      <c r="I50" s="154">
        <f>SUM(F50:H50)</f>
        <v>128</v>
      </c>
      <c r="J50" s="602">
        <f>IF(E50&gt;0,(I50-E50)/E50,(IF(I50=0,"N/A",100%)))</f>
        <v>2.7647058823529411</v>
      </c>
      <c r="K50" s="154">
        <v>116</v>
      </c>
      <c r="L50" s="154">
        <v>9</v>
      </c>
      <c r="M50" s="512">
        <v>0</v>
      </c>
      <c r="N50" s="154">
        <f>SUM(K50:M50)</f>
        <v>125</v>
      </c>
      <c r="O50" s="155">
        <f>IF(I50&gt;0,(N50-I50)/I50,(IF(N50=0,"N/A",100%)))</f>
        <v>-2.34375E-2</v>
      </c>
      <c r="P50" s="154">
        <v>94</v>
      </c>
      <c r="Q50" s="154">
        <v>13</v>
      </c>
      <c r="R50" s="512">
        <v>0</v>
      </c>
      <c r="S50" s="154">
        <f>SUM(P50:R50)</f>
        <v>107</v>
      </c>
      <c r="T50" s="155">
        <f>IF(N50&gt;0,(S50-N50)/N50,(IF(S50=0,"N/A",100%)))</f>
        <v>-0.14399999999999999</v>
      </c>
      <c r="U50" s="154">
        <v>305</v>
      </c>
      <c r="V50" s="154">
        <v>12</v>
      </c>
      <c r="W50" s="512">
        <v>0</v>
      </c>
      <c r="X50" s="980">
        <f>SUM(U50:W50)</f>
        <v>317</v>
      </c>
      <c r="Y50" s="602">
        <f>IF(S50&gt;0,(X50-S50)/S50,(IF(X50=0,"N/A",100%)))</f>
        <v>1.9626168224299065</v>
      </c>
      <c r="Z50" s="154">
        <v>174</v>
      </c>
      <c r="AA50" s="154">
        <v>12</v>
      </c>
      <c r="AB50" s="512">
        <v>0</v>
      </c>
      <c r="AC50" s="154">
        <f>SUM(Z50:AB50)</f>
        <v>186</v>
      </c>
      <c r="AD50" s="567">
        <f>IF(X50&gt;0,(AC50-X50)/X50,(IF(AC50=0,"N/A",100%)))</f>
        <v>-0.41324921135646686</v>
      </c>
      <c r="AE50" s="328"/>
      <c r="AF50" s="328"/>
      <c r="AG50" s="328"/>
      <c r="AH50" s="328"/>
    </row>
    <row r="51" spans="1:34" x14ac:dyDescent="0.25">
      <c r="A51" s="825" t="s">
        <v>1014</v>
      </c>
      <c r="B51" s="1233">
        <v>2</v>
      </c>
      <c r="C51" s="1227">
        <v>0</v>
      </c>
      <c r="D51" s="1228">
        <v>0</v>
      </c>
      <c r="E51" s="331">
        <f>SUM(B51:D51)</f>
        <v>2</v>
      </c>
      <c r="F51" s="1233">
        <v>0</v>
      </c>
      <c r="G51" s="1227">
        <v>0</v>
      </c>
      <c r="H51" s="1228">
        <v>0</v>
      </c>
      <c r="I51" s="154">
        <f>SUM(F51:H51)</f>
        <v>0</v>
      </c>
      <c r="J51" s="602">
        <f>IF(E51&gt;0,(I51-E51)/E51,(IF(I51=0,"N/A",100%)))</f>
        <v>-1</v>
      </c>
      <c r="K51" s="154">
        <v>4</v>
      </c>
      <c r="L51" s="154">
        <v>0</v>
      </c>
      <c r="M51" s="512">
        <v>0</v>
      </c>
      <c r="N51" s="154">
        <f>SUM(K51:M51)</f>
        <v>4</v>
      </c>
      <c r="O51" s="155">
        <f>IF(I51&gt;0,(N51-I51)/I51,(IF(N51=0,"N/A",100%)))</f>
        <v>1</v>
      </c>
      <c r="P51" s="824">
        <v>0</v>
      </c>
      <c r="Q51" s="154">
        <v>0</v>
      </c>
      <c r="R51" s="512">
        <v>0</v>
      </c>
      <c r="S51" s="154">
        <f>SUM(P51:R51)</f>
        <v>0</v>
      </c>
      <c r="T51" s="155">
        <f>IF(N51&gt;0,(S51-N51)/N51,(IF(S51=0,"N/A",100%)))</f>
        <v>-1</v>
      </c>
      <c r="U51" s="580">
        <v>0</v>
      </c>
      <c r="V51" s="154">
        <v>0</v>
      </c>
      <c r="W51" s="512">
        <v>0</v>
      </c>
      <c r="X51" s="980">
        <f>SUM(U51:W51)</f>
        <v>0</v>
      </c>
      <c r="Y51" s="602" t="str">
        <f>IF(S51&gt;0,(X51-S51)/S51,(IF(X51=0,"N/A",100%)))</f>
        <v>N/A</v>
      </c>
      <c r="Z51" s="580">
        <v>0</v>
      </c>
      <c r="AA51" s="154">
        <v>0</v>
      </c>
      <c r="AB51" s="512">
        <v>0</v>
      </c>
      <c r="AC51" s="154">
        <f>SUM(Z51:AB51)</f>
        <v>0</v>
      </c>
      <c r="AD51" s="567" t="str">
        <f>IF(X51&gt;0,(AC51-X51)/X51,(IF(AC51=0,"N/A",100%)))</f>
        <v>N/A</v>
      </c>
      <c r="AE51" s="328"/>
      <c r="AF51" s="328"/>
      <c r="AG51" s="328"/>
      <c r="AH51" s="328"/>
    </row>
    <row r="52" spans="1:34" s="575" customFormat="1" ht="13.8" x14ac:dyDescent="0.25">
      <c r="A52" s="570" t="s">
        <v>961</v>
      </c>
      <c r="B52" s="611">
        <f t="shared" ref="B52:I52" si="32">+B51+B50+B49</f>
        <v>999</v>
      </c>
      <c r="C52" s="611">
        <f t="shared" si="32"/>
        <v>385</v>
      </c>
      <c r="D52" s="611">
        <f t="shared" si="32"/>
        <v>90</v>
      </c>
      <c r="E52" s="587">
        <f t="shared" si="32"/>
        <v>1474</v>
      </c>
      <c r="F52" s="611">
        <f>+F51+F50+F49</f>
        <v>1087</v>
      </c>
      <c r="G52" s="611">
        <f>+G51+G50+G49</f>
        <v>603</v>
      </c>
      <c r="H52" s="611">
        <f>+H51+H50+H49</f>
        <v>126</v>
      </c>
      <c r="I52" s="611">
        <f t="shared" si="32"/>
        <v>1816</v>
      </c>
      <c r="J52" s="731">
        <f>IF(E52&gt;0,(I52-E52)/E52,(IF(I52=0,"N/A",100%)))</f>
        <v>0.23202170963364993</v>
      </c>
      <c r="K52" s="611">
        <f>+K51+K50+K49</f>
        <v>1218</v>
      </c>
      <c r="L52" s="611">
        <f>+L51+L50+L49</f>
        <v>532</v>
      </c>
      <c r="M52" s="611">
        <f>+M51+M50+M49</f>
        <v>45</v>
      </c>
      <c r="N52" s="611">
        <f>+N51+N50+N49</f>
        <v>1795</v>
      </c>
      <c r="O52" s="613">
        <f>IF(I52&gt;0,(N52-I52)/I52,(IF(N52=0,"N/A",100%)))</f>
        <v>-1.1563876651982379E-2</v>
      </c>
      <c r="P52" s="611">
        <f>+P51+P50+P49</f>
        <v>1588</v>
      </c>
      <c r="Q52" s="611">
        <f>+Q51+Q50+Q49</f>
        <v>396</v>
      </c>
      <c r="R52" s="611">
        <f>+R51+R50+R49</f>
        <v>108</v>
      </c>
      <c r="S52" s="611">
        <f>+S51+S50+S49</f>
        <v>2092</v>
      </c>
      <c r="T52" s="613">
        <f>IF(N52&gt;0,(S52-N52)/N52,(IF(S52=0,"N/A",100%)))</f>
        <v>0.16545961002785514</v>
      </c>
      <c r="U52" s="611">
        <f>+U51+U50+U49</f>
        <v>1871</v>
      </c>
      <c r="V52" s="611">
        <f>+V51+V50+V49</f>
        <v>463</v>
      </c>
      <c r="W52" s="611">
        <f>+W51+W50+W49</f>
        <v>45</v>
      </c>
      <c r="X52" s="1249">
        <f>+X51+X50+X49</f>
        <v>2379</v>
      </c>
      <c r="Y52" s="731">
        <f>IF(S52&gt;0,(X52-S52)/S52,(IF(X52=0,"N/A",100%)))</f>
        <v>0.13718929254302104</v>
      </c>
      <c r="Z52" s="611">
        <f>+Z51+Z50+Z49</f>
        <v>1446</v>
      </c>
      <c r="AA52" s="611">
        <f>+AA51+AA50+AA49</f>
        <v>536</v>
      </c>
      <c r="AB52" s="611">
        <f>+AB51+AB50+AB49</f>
        <v>63</v>
      </c>
      <c r="AC52" s="611">
        <f>+AC51+AC50+AC49</f>
        <v>2045</v>
      </c>
      <c r="AD52" s="614">
        <f>IF(X52&gt;0,(AC52-X52)/X52,(IF(AC52=0,"N/A",100%)))</f>
        <v>-0.14039512400168139</v>
      </c>
    </row>
    <row r="53" spans="1:34" x14ac:dyDescent="0.25">
      <c r="A53" s="576" t="s">
        <v>411</v>
      </c>
      <c r="B53" s="1088"/>
      <c r="C53" s="1088"/>
      <c r="D53" s="1088"/>
      <c r="E53" s="330"/>
      <c r="F53" s="151"/>
      <c r="G53" s="152"/>
      <c r="H53" s="152"/>
      <c r="I53" s="152"/>
      <c r="J53" s="330"/>
      <c r="K53" s="151"/>
      <c r="L53" s="152"/>
      <c r="M53" s="152"/>
      <c r="N53" s="152"/>
      <c r="O53" s="153"/>
      <c r="P53" s="151"/>
      <c r="Q53" s="152"/>
      <c r="R53" s="152"/>
      <c r="S53" s="152"/>
      <c r="T53" s="153"/>
      <c r="U53" s="151"/>
      <c r="V53" s="152"/>
      <c r="W53" s="152"/>
      <c r="X53" s="1251"/>
      <c r="Y53" s="330"/>
      <c r="Z53" s="151"/>
      <c r="AA53" s="152"/>
      <c r="AB53" s="152"/>
      <c r="AC53" s="152"/>
      <c r="AD53" s="565"/>
      <c r="AE53" s="328"/>
      <c r="AF53" s="328"/>
      <c r="AG53" s="328"/>
      <c r="AH53" s="328"/>
    </row>
    <row r="54" spans="1:34" x14ac:dyDescent="0.25">
      <c r="A54" s="566" t="s">
        <v>978</v>
      </c>
      <c r="B54" s="1227">
        <v>129</v>
      </c>
      <c r="C54" s="1227">
        <v>132</v>
      </c>
      <c r="D54" s="1228">
        <v>0</v>
      </c>
      <c r="E54" s="331">
        <f>SUM(B54:D54)</f>
        <v>261</v>
      </c>
      <c r="F54" s="1227">
        <v>114</v>
      </c>
      <c r="G54" s="1227">
        <v>135</v>
      </c>
      <c r="H54" s="1228">
        <v>0</v>
      </c>
      <c r="I54" s="154">
        <f>SUM(F54:H54)</f>
        <v>249</v>
      </c>
      <c r="J54" s="602">
        <f t="shared" ref="J54:J59" si="33">IF(E54&gt;0,(I54-E54)/E54,(IF(I54=0,"N/A",100%)))</f>
        <v>-4.5977011494252873E-2</v>
      </c>
      <c r="K54" s="154">
        <v>153</v>
      </c>
      <c r="L54" s="154">
        <v>84</v>
      </c>
      <c r="M54" s="512">
        <v>0</v>
      </c>
      <c r="N54" s="154">
        <f>SUM(K54:M54)</f>
        <v>237</v>
      </c>
      <c r="O54" s="155">
        <f t="shared" ref="O54:O59" si="34">IF(I54&gt;0,(N54-I54)/I54,(IF(N54=0,"N/A",100%)))</f>
        <v>-4.8192771084337352E-2</v>
      </c>
      <c r="P54" s="154">
        <v>114</v>
      </c>
      <c r="Q54" s="154">
        <v>93</v>
      </c>
      <c r="R54" s="512">
        <v>0</v>
      </c>
      <c r="S54" s="154">
        <f>SUM(P54:R54)</f>
        <v>207</v>
      </c>
      <c r="T54" s="155">
        <f t="shared" ref="T54:T59" si="35">IF(N54&gt;0,(S54-N54)/N54,(IF(S54=0,"N/A",100%)))</f>
        <v>-0.12658227848101267</v>
      </c>
      <c r="U54" s="154">
        <v>147</v>
      </c>
      <c r="V54" s="154">
        <v>63</v>
      </c>
      <c r="W54" s="512">
        <v>0</v>
      </c>
      <c r="X54" s="980">
        <f>SUM(U54:W54)</f>
        <v>210</v>
      </c>
      <c r="Y54" s="602">
        <f t="shared" ref="Y54:Y59" si="36">IF(S54&gt;0,(X54-S54)/S54,(IF(X54=0,"N/A",100%)))</f>
        <v>1.4492753623188406E-2</v>
      </c>
      <c r="Z54" s="154">
        <v>75</v>
      </c>
      <c r="AA54" s="154">
        <v>102</v>
      </c>
      <c r="AB54" s="512">
        <v>0</v>
      </c>
      <c r="AC54" s="154">
        <f>SUM(Z54:AB54)</f>
        <v>177</v>
      </c>
      <c r="AD54" s="567">
        <f t="shared" ref="AD54:AD59" si="37">IF(X54&gt;0,(AC54-X54)/X54,(IF(AC54=0,"N/A",100%)))</f>
        <v>-0.15714285714285714</v>
      </c>
      <c r="AE54" s="328"/>
      <c r="AF54" s="328"/>
      <c r="AG54" s="328"/>
      <c r="AH54" s="328"/>
    </row>
    <row r="55" spans="1:34" x14ac:dyDescent="0.25">
      <c r="A55" s="566" t="s">
        <v>981</v>
      </c>
      <c r="B55" s="1227">
        <v>0</v>
      </c>
      <c r="C55" s="1227">
        <v>11</v>
      </c>
      <c r="D55" s="1228">
        <v>0</v>
      </c>
      <c r="E55" s="331">
        <f>SUM(B55:D55)</f>
        <v>11</v>
      </c>
      <c r="F55" s="1227">
        <v>0</v>
      </c>
      <c r="G55" s="1227">
        <v>26</v>
      </c>
      <c r="H55" s="1228">
        <v>0</v>
      </c>
      <c r="I55" s="154">
        <f>SUM(F55:H55)</f>
        <v>26</v>
      </c>
      <c r="J55" s="602">
        <f t="shared" si="33"/>
        <v>1.3636363636363635</v>
      </c>
      <c r="K55" s="154">
        <v>0</v>
      </c>
      <c r="L55" s="154">
        <v>19</v>
      </c>
      <c r="M55" s="512">
        <v>0</v>
      </c>
      <c r="N55" s="154">
        <f>SUM(K55:M55)</f>
        <v>19</v>
      </c>
      <c r="O55" s="155">
        <f t="shared" si="34"/>
        <v>-0.26923076923076922</v>
      </c>
      <c r="P55" s="154">
        <v>75</v>
      </c>
      <c r="Q55" s="154">
        <v>13</v>
      </c>
      <c r="R55" s="512">
        <v>0</v>
      </c>
      <c r="S55" s="154">
        <f>SUM(P55:R55)</f>
        <v>88</v>
      </c>
      <c r="T55" s="155">
        <f t="shared" si="35"/>
        <v>3.6315789473684212</v>
      </c>
      <c r="U55" s="154">
        <v>129</v>
      </c>
      <c r="V55" s="154">
        <v>19</v>
      </c>
      <c r="W55" s="512">
        <v>0</v>
      </c>
      <c r="X55" s="980">
        <f>SUM(U55:W55)</f>
        <v>148</v>
      </c>
      <c r="Y55" s="602">
        <f t="shared" si="36"/>
        <v>0.68181818181818177</v>
      </c>
      <c r="Z55" s="154">
        <v>105</v>
      </c>
      <c r="AA55" s="154">
        <v>8</v>
      </c>
      <c r="AB55" s="512">
        <v>0</v>
      </c>
      <c r="AC55" s="154">
        <f>SUM(Z55:AB55)</f>
        <v>113</v>
      </c>
      <c r="AD55" s="567">
        <f t="shared" si="37"/>
        <v>-0.23648648648648649</v>
      </c>
      <c r="AE55" s="328"/>
      <c r="AF55" s="328"/>
      <c r="AG55" s="328"/>
      <c r="AH55" s="328"/>
    </row>
    <row r="56" spans="1:34" x14ac:dyDescent="0.25">
      <c r="A56" s="566" t="s">
        <v>982</v>
      </c>
      <c r="B56" s="1227">
        <v>213</v>
      </c>
      <c r="C56" s="1227">
        <v>327</v>
      </c>
      <c r="D56" s="1228">
        <v>0</v>
      </c>
      <c r="E56" s="331">
        <f>SUM(B56:D56)</f>
        <v>540</v>
      </c>
      <c r="F56" s="1227">
        <v>216</v>
      </c>
      <c r="G56" s="1227">
        <v>348</v>
      </c>
      <c r="H56" s="1228">
        <v>0</v>
      </c>
      <c r="I56" s="154">
        <f>SUM(F56:H56)</f>
        <v>564</v>
      </c>
      <c r="J56" s="602">
        <f t="shared" si="33"/>
        <v>4.4444444444444446E-2</v>
      </c>
      <c r="K56" s="154">
        <v>282</v>
      </c>
      <c r="L56" s="154">
        <v>393</v>
      </c>
      <c r="M56" s="512">
        <v>0</v>
      </c>
      <c r="N56" s="154">
        <f>SUM(K56:M56)</f>
        <v>675</v>
      </c>
      <c r="O56" s="155">
        <f t="shared" si="34"/>
        <v>0.19680851063829788</v>
      </c>
      <c r="P56" s="154">
        <v>441</v>
      </c>
      <c r="Q56" s="154">
        <v>399</v>
      </c>
      <c r="R56" s="512">
        <v>0</v>
      </c>
      <c r="S56" s="154">
        <f>SUM(P56:R56)</f>
        <v>840</v>
      </c>
      <c r="T56" s="155">
        <f t="shared" si="35"/>
        <v>0.24444444444444444</v>
      </c>
      <c r="U56" s="154">
        <v>477</v>
      </c>
      <c r="V56" s="154">
        <v>426</v>
      </c>
      <c r="W56" s="512">
        <v>0</v>
      </c>
      <c r="X56" s="980">
        <f>SUM(U56:W56)</f>
        <v>903</v>
      </c>
      <c r="Y56" s="602">
        <f t="shared" si="36"/>
        <v>7.4999999999999997E-2</v>
      </c>
      <c r="Z56" s="154">
        <v>516</v>
      </c>
      <c r="AA56" s="154">
        <v>351</v>
      </c>
      <c r="AB56" s="512">
        <v>0</v>
      </c>
      <c r="AC56" s="154">
        <f>SUM(Z56:AB56)</f>
        <v>867</v>
      </c>
      <c r="AD56" s="567">
        <f t="shared" si="37"/>
        <v>-3.9867109634551492E-2</v>
      </c>
      <c r="AE56" s="328"/>
      <c r="AF56" s="328"/>
      <c r="AG56" s="328"/>
      <c r="AH56" s="328"/>
    </row>
    <row r="57" spans="1:34" x14ac:dyDescent="0.25">
      <c r="A57" s="566" t="s">
        <v>985</v>
      </c>
      <c r="B57" s="1227">
        <v>387</v>
      </c>
      <c r="C57" s="1227">
        <v>0</v>
      </c>
      <c r="D57" s="1228">
        <v>0</v>
      </c>
      <c r="E57" s="331">
        <f>SUM(B57:D57)</f>
        <v>387</v>
      </c>
      <c r="F57" s="1227">
        <v>459</v>
      </c>
      <c r="G57" s="1227">
        <v>0</v>
      </c>
      <c r="H57" s="1228">
        <v>0</v>
      </c>
      <c r="I57" s="154">
        <f>SUM(F57:H57)</f>
        <v>459</v>
      </c>
      <c r="J57" s="602">
        <f t="shared" si="33"/>
        <v>0.18604651162790697</v>
      </c>
      <c r="K57" s="154">
        <v>654</v>
      </c>
      <c r="L57" s="154">
        <v>0</v>
      </c>
      <c r="M57" s="512">
        <v>0</v>
      </c>
      <c r="N57" s="154">
        <f>SUM(K57:M57)</f>
        <v>654</v>
      </c>
      <c r="O57" s="155">
        <f t="shared" si="34"/>
        <v>0.42483660130718953</v>
      </c>
      <c r="P57" s="154">
        <v>699</v>
      </c>
      <c r="Q57" s="154">
        <v>0</v>
      </c>
      <c r="R57" s="512">
        <v>0</v>
      </c>
      <c r="S57" s="154">
        <f>SUM(P57:R57)</f>
        <v>699</v>
      </c>
      <c r="T57" s="155">
        <f t="shared" si="35"/>
        <v>6.8807339449541288E-2</v>
      </c>
      <c r="U57" s="154">
        <v>459</v>
      </c>
      <c r="V57" s="154">
        <v>0</v>
      </c>
      <c r="W57" s="512">
        <v>0</v>
      </c>
      <c r="X57" s="980">
        <f>SUM(U57:W57)</f>
        <v>459</v>
      </c>
      <c r="Y57" s="602">
        <f t="shared" si="36"/>
        <v>-0.34334763948497854</v>
      </c>
      <c r="Z57" s="154">
        <v>579</v>
      </c>
      <c r="AA57" s="154">
        <v>0</v>
      </c>
      <c r="AB57" s="512">
        <v>0</v>
      </c>
      <c r="AC57" s="154">
        <f>SUM(Z57:AB57)</f>
        <v>579</v>
      </c>
      <c r="AD57" s="567">
        <f t="shared" si="37"/>
        <v>0.26143790849673204</v>
      </c>
      <c r="AE57" s="328"/>
      <c r="AF57" s="328"/>
      <c r="AG57" s="328"/>
      <c r="AH57" s="328"/>
    </row>
    <row r="58" spans="1:34" x14ac:dyDescent="0.25">
      <c r="A58" s="566" t="s">
        <v>986</v>
      </c>
      <c r="B58" s="1227">
        <v>339</v>
      </c>
      <c r="C58" s="1227">
        <v>80</v>
      </c>
      <c r="D58" s="1228">
        <v>0</v>
      </c>
      <c r="E58" s="331">
        <f>SUM(B58:D58)</f>
        <v>419</v>
      </c>
      <c r="F58" s="1227">
        <v>491</v>
      </c>
      <c r="G58" s="1227">
        <v>106</v>
      </c>
      <c r="H58" s="1228">
        <v>0</v>
      </c>
      <c r="I58" s="154">
        <f>SUM(F58:H58)</f>
        <v>597</v>
      </c>
      <c r="J58" s="602">
        <f t="shared" si="33"/>
        <v>0.42482100238663484</v>
      </c>
      <c r="K58" s="154">
        <v>520</v>
      </c>
      <c r="L58" s="154">
        <v>124</v>
      </c>
      <c r="M58" s="512">
        <v>0</v>
      </c>
      <c r="N58" s="154">
        <f>SUM(K58:M58)</f>
        <v>644</v>
      </c>
      <c r="O58" s="155">
        <f t="shared" si="34"/>
        <v>7.8726968174204354E-2</v>
      </c>
      <c r="P58" s="154">
        <v>474</v>
      </c>
      <c r="Q58" s="154">
        <v>177</v>
      </c>
      <c r="R58" s="512">
        <v>0</v>
      </c>
      <c r="S58" s="154">
        <f>SUM(P58:R58)</f>
        <v>651</v>
      </c>
      <c r="T58" s="155">
        <f t="shared" si="35"/>
        <v>1.0869565217391304E-2</v>
      </c>
      <c r="U58" s="154">
        <v>513</v>
      </c>
      <c r="V58" s="154">
        <v>152</v>
      </c>
      <c r="W58" s="512">
        <v>0</v>
      </c>
      <c r="X58" s="980">
        <f>SUM(U58:W58)</f>
        <v>665</v>
      </c>
      <c r="Y58" s="602">
        <f t="shared" si="36"/>
        <v>2.1505376344086023E-2</v>
      </c>
      <c r="Z58" s="154">
        <v>528</v>
      </c>
      <c r="AA58" s="154">
        <v>104</v>
      </c>
      <c r="AB58" s="512">
        <v>0</v>
      </c>
      <c r="AC58" s="154">
        <f>SUM(Z58:AB58)</f>
        <v>632</v>
      </c>
      <c r="AD58" s="567">
        <f t="shared" si="37"/>
        <v>-4.9624060150375938E-2</v>
      </c>
      <c r="AE58" s="328"/>
      <c r="AF58" s="328"/>
      <c r="AG58" s="328"/>
      <c r="AH58" s="328"/>
    </row>
    <row r="59" spans="1:34" s="575" customFormat="1" ht="13.8" x14ac:dyDescent="0.25">
      <c r="A59" s="570" t="s">
        <v>961</v>
      </c>
      <c r="B59" s="611">
        <f t="shared" ref="B59:I59" si="38">SUM(B54:B58)</f>
        <v>1068</v>
      </c>
      <c r="C59" s="611">
        <f t="shared" si="38"/>
        <v>550</v>
      </c>
      <c r="D59" s="611">
        <f t="shared" si="38"/>
        <v>0</v>
      </c>
      <c r="E59" s="612">
        <f t="shared" si="38"/>
        <v>1618</v>
      </c>
      <c r="F59" s="611">
        <f>SUM(F54:F58)</f>
        <v>1280</v>
      </c>
      <c r="G59" s="611">
        <f>SUM(G54:G58)</f>
        <v>615</v>
      </c>
      <c r="H59" s="611">
        <f>SUM(H54:H58)</f>
        <v>0</v>
      </c>
      <c r="I59" s="611">
        <f t="shared" si="38"/>
        <v>1895</v>
      </c>
      <c r="J59" s="731">
        <f t="shared" si="33"/>
        <v>0.17119901112484548</v>
      </c>
      <c r="K59" s="611">
        <f>SUM(K54:K58)</f>
        <v>1609</v>
      </c>
      <c r="L59" s="611">
        <f>SUM(L54:L58)</f>
        <v>620</v>
      </c>
      <c r="M59" s="611">
        <f>SUM(M54:M58)</f>
        <v>0</v>
      </c>
      <c r="N59" s="611">
        <f>SUM(N54:N58)</f>
        <v>2229</v>
      </c>
      <c r="O59" s="613">
        <f t="shared" si="34"/>
        <v>0.17625329815303431</v>
      </c>
      <c r="P59" s="611">
        <f>SUM(P54:P58)</f>
        <v>1803</v>
      </c>
      <c r="Q59" s="611">
        <f>SUM(Q54:Q58)</f>
        <v>682</v>
      </c>
      <c r="R59" s="611">
        <f>SUM(R54:R58)</f>
        <v>0</v>
      </c>
      <c r="S59" s="611">
        <f>SUM(S54:S58)</f>
        <v>2485</v>
      </c>
      <c r="T59" s="613">
        <f t="shared" si="35"/>
        <v>0.11484970838941229</v>
      </c>
      <c r="U59" s="611">
        <f>SUM(U54:U58)</f>
        <v>1725</v>
      </c>
      <c r="V59" s="611">
        <f>SUM(V54:V58)</f>
        <v>660</v>
      </c>
      <c r="W59" s="611">
        <f>SUM(W54:W58)</f>
        <v>0</v>
      </c>
      <c r="X59" s="1249">
        <f>SUM(X54:X58)</f>
        <v>2385</v>
      </c>
      <c r="Y59" s="731">
        <f t="shared" si="36"/>
        <v>-4.0241448692152917E-2</v>
      </c>
      <c r="Z59" s="611">
        <f>SUM(Z54:Z58)</f>
        <v>1803</v>
      </c>
      <c r="AA59" s="611">
        <f>SUM(AA54:AA58)</f>
        <v>565</v>
      </c>
      <c r="AB59" s="611">
        <f>SUM(AB54:AB58)</f>
        <v>0</v>
      </c>
      <c r="AC59" s="611">
        <f>SUM(AC54:AC58)</f>
        <v>2368</v>
      </c>
      <c r="AD59" s="614">
        <f t="shared" si="37"/>
        <v>-7.1278825995807127E-3</v>
      </c>
    </row>
    <row r="60" spans="1:34" x14ac:dyDescent="0.25">
      <c r="A60" s="576" t="s">
        <v>413</v>
      </c>
      <c r="B60" s="1088"/>
      <c r="C60" s="1088"/>
      <c r="D60" s="1088"/>
      <c r="E60" s="330"/>
      <c r="F60" s="151"/>
      <c r="G60" s="152"/>
      <c r="H60" s="152"/>
      <c r="I60" s="152"/>
      <c r="J60" s="330"/>
      <c r="K60" s="151"/>
      <c r="L60" s="152"/>
      <c r="M60" s="152"/>
      <c r="N60" s="152"/>
      <c r="O60" s="153"/>
      <c r="P60" s="151"/>
      <c r="Q60" s="152"/>
      <c r="R60" s="152"/>
      <c r="S60" s="152"/>
      <c r="T60" s="153"/>
      <c r="U60" s="151"/>
      <c r="V60" s="152"/>
      <c r="W60" s="152"/>
      <c r="X60" s="1251"/>
      <c r="Y60" s="330"/>
      <c r="Z60" s="151"/>
      <c r="AA60" s="152"/>
      <c r="AB60" s="152"/>
      <c r="AC60" s="152"/>
      <c r="AD60" s="565"/>
      <c r="AE60" s="328"/>
      <c r="AF60" s="328"/>
      <c r="AG60" s="328"/>
      <c r="AH60" s="328"/>
    </row>
    <row r="61" spans="1:34" x14ac:dyDescent="0.25">
      <c r="A61" s="566" t="s">
        <v>983</v>
      </c>
      <c r="B61" s="1227">
        <v>44</v>
      </c>
      <c r="C61" s="1227">
        <v>16</v>
      </c>
      <c r="D61" s="1228">
        <v>0</v>
      </c>
      <c r="E61" s="331">
        <f>SUM(B61:D61)</f>
        <v>60</v>
      </c>
      <c r="F61" s="1227">
        <v>43</v>
      </c>
      <c r="G61" s="1227">
        <v>26</v>
      </c>
      <c r="H61" s="1228">
        <v>0</v>
      </c>
      <c r="I61" s="154">
        <f>SUM(F61:H61)</f>
        <v>69</v>
      </c>
      <c r="J61" s="602">
        <f t="shared" ref="J61:J66" si="39">IF(E61&gt;0,(I61-E61)/E61,(IF(I61=0,"N/A",100%)))</f>
        <v>0.15</v>
      </c>
      <c r="K61" s="154">
        <v>40</v>
      </c>
      <c r="L61" s="154">
        <v>26</v>
      </c>
      <c r="M61" s="512">
        <v>0</v>
      </c>
      <c r="N61" s="154">
        <f>SUM(K61:M61)</f>
        <v>66</v>
      </c>
      <c r="O61" s="155">
        <f t="shared" ref="O61:O66" si="40">IF(I61&gt;0,(N61-I61)/I61,(IF(N61=0,"N/A",100%)))</f>
        <v>-4.3478260869565216E-2</v>
      </c>
      <c r="P61" s="154">
        <v>33</v>
      </c>
      <c r="Q61" s="154">
        <v>21</v>
      </c>
      <c r="R61" s="512">
        <v>0</v>
      </c>
      <c r="S61" s="154">
        <f>SUM(P61:R61)</f>
        <v>54</v>
      </c>
      <c r="T61" s="155">
        <f t="shared" ref="T61:T66" si="41">IF(N61&gt;0,(S61-N61)/N61,(IF(S61=0,"N/A",100%)))</f>
        <v>-0.18181818181818182</v>
      </c>
      <c r="U61" s="154">
        <v>44</v>
      </c>
      <c r="V61" s="154">
        <v>16</v>
      </c>
      <c r="W61" s="512">
        <v>0</v>
      </c>
      <c r="X61" s="980">
        <f>SUM(U61:W61)</f>
        <v>60</v>
      </c>
      <c r="Y61" s="602">
        <f t="shared" ref="Y61:Y66" si="42">IF(S61&gt;0,(X61-S61)/S61,(IF(X61=0,"N/A",100%)))</f>
        <v>0.1111111111111111</v>
      </c>
      <c r="Z61" s="154">
        <v>0</v>
      </c>
      <c r="AA61" s="154">
        <v>0</v>
      </c>
      <c r="AB61" s="512">
        <v>0</v>
      </c>
      <c r="AC61" s="154">
        <f>SUM(Z61:AB61)</f>
        <v>0</v>
      </c>
      <c r="AD61" s="567">
        <f t="shared" ref="AD61:AD66" si="43">IF(X61&gt;0,(AC61-X61)/X61,(IF(AC61=0,"N/A",100%)))</f>
        <v>-1</v>
      </c>
      <c r="AE61" s="328"/>
      <c r="AF61" s="328"/>
      <c r="AG61" s="328"/>
      <c r="AH61" s="328"/>
    </row>
    <row r="62" spans="1:34" x14ac:dyDescent="0.25">
      <c r="A62" s="566" t="s">
        <v>984</v>
      </c>
      <c r="B62" s="1227">
        <v>776</v>
      </c>
      <c r="C62" s="1227">
        <v>238</v>
      </c>
      <c r="D62" s="1228">
        <v>0</v>
      </c>
      <c r="E62" s="331">
        <f>SUM(B62:D62)</f>
        <v>1014</v>
      </c>
      <c r="F62" s="1227">
        <v>814</v>
      </c>
      <c r="G62" s="1227">
        <v>238</v>
      </c>
      <c r="H62" s="1228">
        <v>0</v>
      </c>
      <c r="I62" s="154">
        <f>SUM(F62:H62)</f>
        <v>1052</v>
      </c>
      <c r="J62" s="602">
        <f t="shared" si="39"/>
        <v>3.7475345167652857E-2</v>
      </c>
      <c r="K62" s="154">
        <v>1123</v>
      </c>
      <c r="L62" s="154">
        <v>247</v>
      </c>
      <c r="M62" s="512">
        <v>0</v>
      </c>
      <c r="N62" s="154">
        <f>SUM(K62:M62)</f>
        <v>1370</v>
      </c>
      <c r="O62" s="155">
        <f t="shared" si="40"/>
        <v>0.30228136882129275</v>
      </c>
      <c r="P62" s="154">
        <v>1037</v>
      </c>
      <c r="Q62" s="154">
        <v>235</v>
      </c>
      <c r="R62" s="512">
        <v>0</v>
      </c>
      <c r="S62" s="154">
        <f>SUM(P62:R62)</f>
        <v>1272</v>
      </c>
      <c r="T62" s="155">
        <f t="shared" si="41"/>
        <v>-7.153284671532846E-2</v>
      </c>
      <c r="U62" s="154">
        <v>943</v>
      </c>
      <c r="V62" s="154">
        <v>211</v>
      </c>
      <c r="W62" s="512">
        <v>0</v>
      </c>
      <c r="X62" s="980">
        <f>SUM(U62:W62)</f>
        <v>1154</v>
      </c>
      <c r="Y62" s="602">
        <f t="shared" si="42"/>
        <v>-9.276729559748427E-2</v>
      </c>
      <c r="Z62" s="154">
        <v>876</v>
      </c>
      <c r="AA62" s="154">
        <v>190</v>
      </c>
      <c r="AB62" s="512">
        <v>0</v>
      </c>
      <c r="AC62" s="154">
        <f>SUM(Z62:AB62)</f>
        <v>1066</v>
      </c>
      <c r="AD62" s="567">
        <f t="shared" si="43"/>
        <v>-7.6256499133448868E-2</v>
      </c>
      <c r="AE62" s="328"/>
      <c r="AF62" s="328"/>
      <c r="AG62" s="328"/>
      <c r="AH62" s="328"/>
    </row>
    <row r="63" spans="1:34" x14ac:dyDescent="0.25">
      <c r="A63" s="566" t="s">
        <v>1518</v>
      </c>
      <c r="B63" s="1227">
        <v>0</v>
      </c>
      <c r="C63" s="1227">
        <v>0</v>
      </c>
      <c r="D63" s="1228">
        <v>0</v>
      </c>
      <c r="E63" s="331">
        <f>SUM(B63:D63)</f>
        <v>0</v>
      </c>
      <c r="F63" s="1227">
        <v>0</v>
      </c>
      <c r="G63" s="1227">
        <v>0</v>
      </c>
      <c r="H63" s="1228">
        <v>0</v>
      </c>
      <c r="I63" s="154">
        <f>SUM(F63:H63)</f>
        <v>0</v>
      </c>
      <c r="J63" s="602" t="str">
        <f t="shared" si="39"/>
        <v>N/A</v>
      </c>
      <c r="K63" s="154">
        <v>0</v>
      </c>
      <c r="L63" s="154">
        <v>0</v>
      </c>
      <c r="M63" s="512">
        <v>0</v>
      </c>
      <c r="N63" s="154">
        <f>SUM(K63:M63)</f>
        <v>0</v>
      </c>
      <c r="O63" s="155" t="str">
        <f t="shared" si="40"/>
        <v>N/A</v>
      </c>
      <c r="P63" s="154">
        <v>0</v>
      </c>
      <c r="Q63" s="154">
        <v>0</v>
      </c>
      <c r="R63" s="512">
        <v>0</v>
      </c>
      <c r="S63" s="154">
        <f>SUM(P63:R63)</f>
        <v>0</v>
      </c>
      <c r="T63" s="155" t="str">
        <f t="shared" si="41"/>
        <v>N/A</v>
      </c>
      <c r="U63" s="154">
        <v>0</v>
      </c>
      <c r="V63" s="154">
        <v>0</v>
      </c>
      <c r="W63" s="512">
        <v>0</v>
      </c>
      <c r="X63" s="980">
        <f>SUM(U63:W63)</f>
        <v>0</v>
      </c>
      <c r="Y63" s="602" t="str">
        <f t="shared" si="42"/>
        <v>N/A</v>
      </c>
      <c r="Z63" s="154">
        <v>10</v>
      </c>
      <c r="AA63" s="154">
        <v>6</v>
      </c>
      <c r="AB63" s="512">
        <v>0</v>
      </c>
      <c r="AC63" s="154">
        <f>SUM(Z63:AB63)</f>
        <v>16</v>
      </c>
      <c r="AD63" s="567">
        <f t="shared" si="43"/>
        <v>1</v>
      </c>
      <c r="AE63" s="328"/>
      <c r="AF63" s="328"/>
      <c r="AG63" s="328"/>
      <c r="AH63" s="328"/>
    </row>
    <row r="64" spans="1:34" x14ac:dyDescent="0.25">
      <c r="A64" s="566" t="s">
        <v>1519</v>
      </c>
      <c r="B64" s="1227">
        <v>0</v>
      </c>
      <c r="C64" s="1227">
        <v>0</v>
      </c>
      <c r="D64" s="1228">
        <v>0</v>
      </c>
      <c r="E64" s="331">
        <f>SUM(B64:D64)</f>
        <v>0</v>
      </c>
      <c r="F64" s="1227">
        <v>0</v>
      </c>
      <c r="G64" s="1227">
        <v>0</v>
      </c>
      <c r="H64" s="1228">
        <v>0</v>
      </c>
      <c r="I64" s="154">
        <f>SUM(F64:H64)</f>
        <v>0</v>
      </c>
      <c r="J64" s="602" t="str">
        <f t="shared" si="39"/>
        <v>N/A</v>
      </c>
      <c r="K64" s="154">
        <v>0</v>
      </c>
      <c r="L64" s="154">
        <v>0</v>
      </c>
      <c r="M64" s="512">
        <v>0</v>
      </c>
      <c r="N64" s="154">
        <f>SUM(K64:M64)</f>
        <v>0</v>
      </c>
      <c r="O64" s="155" t="str">
        <f t="shared" si="40"/>
        <v>N/A</v>
      </c>
      <c r="P64" s="154">
        <v>0</v>
      </c>
      <c r="Q64" s="154">
        <v>0</v>
      </c>
      <c r="R64" s="512">
        <v>0</v>
      </c>
      <c r="S64" s="154">
        <f>SUM(P64:R64)</f>
        <v>0</v>
      </c>
      <c r="T64" s="155" t="str">
        <f t="shared" si="41"/>
        <v>N/A</v>
      </c>
      <c r="U64" s="154">
        <v>0</v>
      </c>
      <c r="V64" s="154">
        <v>0</v>
      </c>
      <c r="W64" s="512">
        <v>0</v>
      </c>
      <c r="X64" s="980">
        <f>SUM(U64:W64)</f>
        <v>0</v>
      </c>
      <c r="Y64" s="602" t="str">
        <f t="shared" si="42"/>
        <v>N/A</v>
      </c>
      <c r="Z64" s="154">
        <v>28</v>
      </c>
      <c r="AA64" s="154">
        <v>9</v>
      </c>
      <c r="AB64" s="512">
        <v>0</v>
      </c>
      <c r="AC64" s="154">
        <f>SUM(Z64:AB64)</f>
        <v>37</v>
      </c>
      <c r="AD64" s="567">
        <f t="shared" si="43"/>
        <v>1</v>
      </c>
      <c r="AE64" s="328"/>
      <c r="AF64" s="328"/>
      <c r="AG64" s="328"/>
      <c r="AH64" s="328"/>
    </row>
    <row r="65" spans="1:34" x14ac:dyDescent="0.25">
      <c r="A65" s="566" t="s">
        <v>1520</v>
      </c>
      <c r="B65" s="1227">
        <v>0</v>
      </c>
      <c r="C65" s="1227">
        <v>0</v>
      </c>
      <c r="D65" s="1228">
        <v>0</v>
      </c>
      <c r="E65" s="331">
        <f>SUM(B65:D65)</f>
        <v>0</v>
      </c>
      <c r="F65" s="1227">
        <v>0</v>
      </c>
      <c r="G65" s="1227">
        <v>0</v>
      </c>
      <c r="H65" s="1228">
        <v>0</v>
      </c>
      <c r="I65" s="154">
        <f>SUM(F65:H65)</f>
        <v>0</v>
      </c>
      <c r="J65" s="602" t="str">
        <f t="shared" si="39"/>
        <v>N/A</v>
      </c>
      <c r="K65" s="154">
        <v>0</v>
      </c>
      <c r="L65" s="154">
        <v>0</v>
      </c>
      <c r="M65" s="512">
        <v>0</v>
      </c>
      <c r="N65" s="154">
        <f>SUM(K65:M65)</f>
        <v>0</v>
      </c>
      <c r="O65" s="155" t="str">
        <f t="shared" si="40"/>
        <v>N/A</v>
      </c>
      <c r="P65" s="154">
        <v>0</v>
      </c>
      <c r="Q65" s="154">
        <v>0</v>
      </c>
      <c r="R65" s="512">
        <v>0</v>
      </c>
      <c r="S65" s="154">
        <f>SUM(P65:R65)</f>
        <v>0</v>
      </c>
      <c r="T65" s="155" t="str">
        <f t="shared" si="41"/>
        <v>N/A</v>
      </c>
      <c r="U65" s="154">
        <v>0</v>
      </c>
      <c r="V65" s="154">
        <v>0</v>
      </c>
      <c r="W65" s="512">
        <v>0</v>
      </c>
      <c r="X65" s="980">
        <f>SUM(U65:W65)</f>
        <v>0</v>
      </c>
      <c r="Y65" s="602" t="str">
        <f t="shared" si="42"/>
        <v>N/A</v>
      </c>
      <c r="Z65" s="154">
        <v>9</v>
      </c>
      <c r="AA65" s="154">
        <v>6</v>
      </c>
      <c r="AB65" s="512">
        <v>0</v>
      </c>
      <c r="AC65" s="154">
        <f>SUM(Z65:AB65)</f>
        <v>15</v>
      </c>
      <c r="AD65" s="567">
        <f t="shared" si="43"/>
        <v>1</v>
      </c>
      <c r="AE65" s="328"/>
      <c r="AF65" s="328"/>
      <c r="AG65" s="328"/>
      <c r="AH65" s="328"/>
    </row>
    <row r="66" spans="1:34" s="575" customFormat="1" ht="13.8" x14ac:dyDescent="0.25">
      <c r="A66" s="615" t="s">
        <v>961</v>
      </c>
      <c r="B66" s="611">
        <f t="shared" ref="B66:I66" si="44">SUM(B61:B65)</f>
        <v>820</v>
      </c>
      <c r="C66" s="611">
        <f t="shared" si="44"/>
        <v>254</v>
      </c>
      <c r="D66" s="611">
        <f t="shared" si="44"/>
        <v>0</v>
      </c>
      <c r="E66" s="611">
        <f t="shared" si="44"/>
        <v>1074</v>
      </c>
      <c r="F66" s="611">
        <f t="shared" si="44"/>
        <v>857</v>
      </c>
      <c r="G66" s="611">
        <f t="shared" si="44"/>
        <v>264</v>
      </c>
      <c r="H66" s="611">
        <f t="shared" si="44"/>
        <v>0</v>
      </c>
      <c r="I66" s="611">
        <f t="shared" si="44"/>
        <v>1121</v>
      </c>
      <c r="J66" s="731">
        <f t="shared" si="39"/>
        <v>4.3761638733705775E-2</v>
      </c>
      <c r="K66" s="611">
        <f>SUM(K61:K65)</f>
        <v>1163</v>
      </c>
      <c r="L66" s="611">
        <f>SUM(L61:L65)</f>
        <v>273</v>
      </c>
      <c r="M66" s="611">
        <f>SUM(M61:M65)</f>
        <v>0</v>
      </c>
      <c r="N66" s="611">
        <f>SUM(N61:N65)</f>
        <v>1436</v>
      </c>
      <c r="O66" s="613">
        <f t="shared" si="40"/>
        <v>0.28099910793933985</v>
      </c>
      <c r="P66" s="611">
        <f>SUM(P61:P65)</f>
        <v>1070</v>
      </c>
      <c r="Q66" s="611">
        <f>SUM(Q61:Q65)</f>
        <v>256</v>
      </c>
      <c r="R66" s="611">
        <f>SUM(R61:R65)</f>
        <v>0</v>
      </c>
      <c r="S66" s="611">
        <f>SUM(S61:S65)</f>
        <v>1326</v>
      </c>
      <c r="T66" s="613">
        <f t="shared" si="41"/>
        <v>-7.6601671309192196E-2</v>
      </c>
      <c r="U66" s="611">
        <f>SUM(U61:U65)</f>
        <v>987</v>
      </c>
      <c r="V66" s="611">
        <f>SUM(V61:V65)</f>
        <v>227</v>
      </c>
      <c r="W66" s="611">
        <f>SUM(W61:W65)</f>
        <v>0</v>
      </c>
      <c r="X66" s="1249">
        <f>SUM(X61:X65)</f>
        <v>1214</v>
      </c>
      <c r="Y66" s="731">
        <f t="shared" si="42"/>
        <v>-8.4464555052790352E-2</v>
      </c>
      <c r="Z66" s="611">
        <f>SUM(Z61:Z65)</f>
        <v>923</v>
      </c>
      <c r="AA66" s="611">
        <f>SUM(AA61:AA65)</f>
        <v>211</v>
      </c>
      <c r="AB66" s="611">
        <f>SUM(AB61:AB65)</f>
        <v>0</v>
      </c>
      <c r="AC66" s="611">
        <f>SUM(AC61:AC65)</f>
        <v>1134</v>
      </c>
      <c r="AD66" s="614">
        <f t="shared" si="43"/>
        <v>-6.589785831960461E-2</v>
      </c>
    </row>
    <row r="67" spans="1:34" x14ac:dyDescent="0.25">
      <c r="A67" s="564" t="s">
        <v>428</v>
      </c>
      <c r="B67" s="1088"/>
      <c r="C67" s="1088"/>
      <c r="D67" s="1088"/>
      <c r="E67" s="330"/>
      <c r="F67" s="151"/>
      <c r="G67" s="152"/>
      <c r="H67" s="152"/>
      <c r="I67" s="152"/>
      <c r="J67" s="330"/>
      <c r="K67" s="151"/>
      <c r="L67" s="152"/>
      <c r="M67" s="152"/>
      <c r="N67" s="152"/>
      <c r="O67" s="153"/>
      <c r="P67" s="151"/>
      <c r="Q67" s="152"/>
      <c r="R67" s="152"/>
      <c r="S67" s="152"/>
      <c r="T67" s="153"/>
      <c r="U67" s="151"/>
      <c r="V67" s="152"/>
      <c r="W67" s="152"/>
      <c r="X67" s="1251"/>
      <c r="Y67" s="330"/>
      <c r="Z67" s="151"/>
      <c r="AA67" s="152"/>
      <c r="AB67" s="152"/>
      <c r="AC67" s="152"/>
      <c r="AD67" s="565"/>
      <c r="AE67" s="328"/>
      <c r="AF67" s="328"/>
      <c r="AG67" s="328"/>
      <c r="AH67" s="328"/>
    </row>
    <row r="68" spans="1:34" x14ac:dyDescent="0.25">
      <c r="A68" s="666" t="s">
        <v>992</v>
      </c>
      <c r="B68" s="1227">
        <v>81</v>
      </c>
      <c r="C68" s="1227">
        <v>0</v>
      </c>
      <c r="D68" s="1228">
        <v>0</v>
      </c>
      <c r="E68" s="331">
        <f>SUM(B68:D68)</f>
        <v>81</v>
      </c>
      <c r="F68" s="1227">
        <v>0</v>
      </c>
      <c r="G68" s="1227">
        <v>0</v>
      </c>
      <c r="H68" s="1228">
        <v>0</v>
      </c>
      <c r="I68" s="154">
        <f>SUM(F68:H68)</f>
        <v>0</v>
      </c>
      <c r="J68" s="602">
        <f t="shared" ref="J68:J73" si="45">IF(E68&gt;0,(I68-E68)/E68,(IF(I68=0,"N/A",100%)))</f>
        <v>-1</v>
      </c>
      <c r="K68" s="154">
        <v>0</v>
      </c>
      <c r="L68" s="154">
        <v>0</v>
      </c>
      <c r="M68" s="512">
        <v>0</v>
      </c>
      <c r="N68" s="154">
        <f>SUM(K68:M68)</f>
        <v>0</v>
      </c>
      <c r="O68" s="155" t="str">
        <f t="shared" ref="O68:O73" si="46">IF(I68&gt;0,(N68-I68)/I68,(IF(N68=0,"N/A",100%)))</f>
        <v>N/A</v>
      </c>
      <c r="P68" s="154">
        <v>0</v>
      </c>
      <c r="Q68" s="154">
        <v>0</v>
      </c>
      <c r="R68" s="512">
        <v>0</v>
      </c>
      <c r="S68" s="154">
        <f>SUM(P68:R68)</f>
        <v>0</v>
      </c>
      <c r="T68" s="155" t="str">
        <f t="shared" ref="T68:T73" si="47">IF(N68&gt;0,(S68-N68)/N68,(IF(S68=0,"N/A",100%)))</f>
        <v>N/A</v>
      </c>
      <c r="U68" s="154">
        <v>0</v>
      </c>
      <c r="V68" s="154">
        <v>0</v>
      </c>
      <c r="W68" s="512">
        <v>0</v>
      </c>
      <c r="X68" s="980">
        <f>SUM(U68:W68)</f>
        <v>0</v>
      </c>
      <c r="Y68" s="602" t="str">
        <f t="shared" ref="Y68:Y73" si="48">IF(S68&gt;0,(X68-S68)/S68,(IF(X68=0,"N/A",100%)))</f>
        <v>N/A</v>
      </c>
      <c r="Z68" s="154">
        <v>0</v>
      </c>
      <c r="AA68" s="154">
        <v>0</v>
      </c>
      <c r="AB68" s="512">
        <v>0</v>
      </c>
      <c r="AC68" s="154">
        <f>SUM(Z68:AB68)</f>
        <v>0</v>
      </c>
      <c r="AD68" s="567" t="str">
        <f t="shared" ref="AD68:AD73" si="49">IF(X68&gt;0,(AC68-X68)/X68,(IF(AC68=0,"N/A",100%)))</f>
        <v>N/A</v>
      </c>
      <c r="AE68" s="328"/>
      <c r="AF68" s="328"/>
      <c r="AG68" s="328"/>
      <c r="AH68" s="328"/>
    </row>
    <row r="69" spans="1:34" x14ac:dyDescent="0.25">
      <c r="A69" s="566" t="s">
        <v>987</v>
      </c>
      <c r="B69" s="1227">
        <v>1113</v>
      </c>
      <c r="C69" s="1227">
        <v>470</v>
      </c>
      <c r="D69" s="1228">
        <v>0</v>
      </c>
      <c r="E69" s="331">
        <f>SUM(B69:D69)</f>
        <v>1583</v>
      </c>
      <c r="F69" s="1227">
        <v>1446</v>
      </c>
      <c r="G69" s="1227">
        <v>453</v>
      </c>
      <c r="H69" s="1228">
        <v>0</v>
      </c>
      <c r="I69" s="154">
        <f>SUM(F69:H69)</f>
        <v>1899</v>
      </c>
      <c r="J69" s="602">
        <f t="shared" si="45"/>
        <v>0.19962097283638661</v>
      </c>
      <c r="K69" s="154">
        <v>1716</v>
      </c>
      <c r="L69" s="154">
        <v>576</v>
      </c>
      <c r="M69" s="512">
        <v>0</v>
      </c>
      <c r="N69" s="154">
        <f>SUM(K69:M69)</f>
        <v>2292</v>
      </c>
      <c r="O69" s="155">
        <f t="shared" si="46"/>
        <v>0.20695102685624012</v>
      </c>
      <c r="P69" s="154">
        <v>2193</v>
      </c>
      <c r="Q69" s="154">
        <v>384</v>
      </c>
      <c r="R69" s="512">
        <v>0</v>
      </c>
      <c r="S69" s="154">
        <f>SUM(P69:R69)</f>
        <v>2577</v>
      </c>
      <c r="T69" s="155">
        <f t="shared" si="47"/>
        <v>0.1243455497382199</v>
      </c>
      <c r="U69" s="154">
        <v>2109</v>
      </c>
      <c r="V69" s="154">
        <v>363</v>
      </c>
      <c r="W69" s="512">
        <v>0</v>
      </c>
      <c r="X69" s="980">
        <f>SUM(U69:W69)</f>
        <v>2472</v>
      </c>
      <c r="Y69" s="602">
        <f t="shared" si="48"/>
        <v>-4.0745052386495922E-2</v>
      </c>
      <c r="Z69" s="154">
        <v>1866</v>
      </c>
      <c r="AA69" s="154">
        <v>372</v>
      </c>
      <c r="AB69" s="512">
        <v>0</v>
      </c>
      <c r="AC69" s="154">
        <f>SUM(Z69:AB69)</f>
        <v>2238</v>
      </c>
      <c r="AD69" s="567">
        <f t="shared" si="49"/>
        <v>-9.4660194174757281E-2</v>
      </c>
      <c r="AE69" s="328"/>
      <c r="AF69" s="328"/>
      <c r="AG69" s="328"/>
      <c r="AH69" s="328"/>
    </row>
    <row r="70" spans="1:34" x14ac:dyDescent="0.25">
      <c r="A70" s="566" t="s">
        <v>993</v>
      </c>
      <c r="B70" s="1227">
        <v>0</v>
      </c>
      <c r="C70" s="1227">
        <v>165</v>
      </c>
      <c r="D70" s="1228">
        <v>0</v>
      </c>
      <c r="E70" s="331">
        <f>SUM(B70:D70)</f>
        <v>165</v>
      </c>
      <c r="F70" s="1227">
        <v>66</v>
      </c>
      <c r="G70" s="1227">
        <v>222</v>
      </c>
      <c r="H70" s="1228">
        <v>0</v>
      </c>
      <c r="I70" s="154">
        <f>SUM(F70:H70)</f>
        <v>288</v>
      </c>
      <c r="J70" s="602">
        <f t="shared" si="45"/>
        <v>0.74545454545454548</v>
      </c>
      <c r="K70" s="154">
        <v>273</v>
      </c>
      <c r="L70" s="154">
        <v>153</v>
      </c>
      <c r="M70" s="512">
        <v>0</v>
      </c>
      <c r="N70" s="154">
        <f>SUM(K70:M70)</f>
        <v>426</v>
      </c>
      <c r="O70" s="155">
        <f t="shared" si="46"/>
        <v>0.47916666666666669</v>
      </c>
      <c r="P70" s="154">
        <v>132</v>
      </c>
      <c r="Q70" s="154">
        <v>156</v>
      </c>
      <c r="R70" s="512">
        <v>0</v>
      </c>
      <c r="S70" s="154">
        <f>SUM(P70:R70)</f>
        <v>288</v>
      </c>
      <c r="T70" s="155">
        <f t="shared" si="47"/>
        <v>-0.323943661971831</v>
      </c>
      <c r="U70" s="154">
        <v>102</v>
      </c>
      <c r="V70" s="154">
        <v>69</v>
      </c>
      <c r="W70" s="512">
        <v>0</v>
      </c>
      <c r="X70" s="980">
        <f>SUM(U70:W70)</f>
        <v>171</v>
      </c>
      <c r="Y70" s="602">
        <f t="shared" si="48"/>
        <v>-0.40625</v>
      </c>
      <c r="Z70" s="154">
        <v>0</v>
      </c>
      <c r="AA70" s="154">
        <v>258</v>
      </c>
      <c r="AB70" s="512">
        <v>0</v>
      </c>
      <c r="AC70" s="154">
        <f>SUM(Z70:AB70)</f>
        <v>258</v>
      </c>
      <c r="AD70" s="567">
        <f t="shared" si="49"/>
        <v>0.50877192982456143</v>
      </c>
      <c r="AE70" s="328"/>
      <c r="AF70" s="328"/>
      <c r="AG70" s="328"/>
      <c r="AH70" s="328"/>
    </row>
    <row r="71" spans="1:34" x14ac:dyDescent="0.25">
      <c r="A71" s="566" t="s">
        <v>994</v>
      </c>
      <c r="B71" s="1227">
        <v>504</v>
      </c>
      <c r="C71" s="1227">
        <v>63</v>
      </c>
      <c r="D71" s="1228">
        <v>0</v>
      </c>
      <c r="E71" s="331">
        <f>SUM(B71:D71)</f>
        <v>567</v>
      </c>
      <c r="F71" s="1227">
        <v>504</v>
      </c>
      <c r="G71" s="1227">
        <v>123</v>
      </c>
      <c r="H71" s="1228">
        <v>0</v>
      </c>
      <c r="I71" s="154">
        <f>SUM(F71:H71)</f>
        <v>627</v>
      </c>
      <c r="J71" s="602">
        <f t="shared" si="45"/>
        <v>0.10582010582010581</v>
      </c>
      <c r="K71" s="154">
        <v>516</v>
      </c>
      <c r="L71" s="154">
        <v>147</v>
      </c>
      <c r="M71" s="512">
        <v>0</v>
      </c>
      <c r="N71" s="154">
        <f>SUM(K71:M71)</f>
        <v>663</v>
      </c>
      <c r="O71" s="155">
        <f t="shared" si="46"/>
        <v>5.7416267942583733E-2</v>
      </c>
      <c r="P71" s="154">
        <v>492</v>
      </c>
      <c r="Q71" s="154">
        <v>126</v>
      </c>
      <c r="R71" s="512">
        <v>0</v>
      </c>
      <c r="S71" s="154">
        <f>SUM(P71:R71)</f>
        <v>618</v>
      </c>
      <c r="T71" s="155">
        <f t="shared" si="47"/>
        <v>-6.7873303167420809E-2</v>
      </c>
      <c r="U71" s="154">
        <v>525</v>
      </c>
      <c r="V71" s="154">
        <v>87</v>
      </c>
      <c r="W71" s="512">
        <v>0</v>
      </c>
      <c r="X71" s="980">
        <f>SUM(U71:W71)</f>
        <v>612</v>
      </c>
      <c r="Y71" s="602">
        <f t="shared" si="48"/>
        <v>-9.7087378640776691E-3</v>
      </c>
      <c r="Z71" s="154">
        <v>555</v>
      </c>
      <c r="AA71" s="154">
        <v>153</v>
      </c>
      <c r="AB71" s="512">
        <v>0</v>
      </c>
      <c r="AC71" s="154">
        <f>SUM(Z71:AB71)</f>
        <v>708</v>
      </c>
      <c r="AD71" s="567">
        <f t="shared" si="49"/>
        <v>0.15686274509803921</v>
      </c>
      <c r="AE71" s="328"/>
      <c r="AF71" s="328"/>
      <c r="AG71" s="328"/>
      <c r="AH71" s="328"/>
    </row>
    <row r="72" spans="1:34" x14ac:dyDescent="0.25">
      <c r="A72" s="566" t="s">
        <v>1376</v>
      </c>
      <c r="B72" s="1227">
        <v>0</v>
      </c>
      <c r="C72" s="1227">
        <v>0</v>
      </c>
      <c r="D72" s="1228">
        <v>0</v>
      </c>
      <c r="E72" s="331">
        <f>SUM(B72:D72)</f>
        <v>0</v>
      </c>
      <c r="F72" s="1227">
        <v>120</v>
      </c>
      <c r="G72" s="1227">
        <v>15</v>
      </c>
      <c r="H72" s="1228">
        <v>0</v>
      </c>
      <c r="I72" s="980">
        <f>SUM(F72:H72)</f>
        <v>135</v>
      </c>
      <c r="J72" s="602">
        <f t="shared" si="45"/>
        <v>1</v>
      </c>
      <c r="K72" s="154">
        <v>0</v>
      </c>
      <c r="L72" s="154">
        <v>42</v>
      </c>
      <c r="M72" s="512">
        <v>0</v>
      </c>
      <c r="N72" s="980">
        <f>SUM(K72:M72)</f>
        <v>42</v>
      </c>
      <c r="O72" s="155">
        <f t="shared" si="46"/>
        <v>-0.68888888888888888</v>
      </c>
      <c r="P72" s="154">
        <v>87</v>
      </c>
      <c r="Q72" s="154">
        <v>0</v>
      </c>
      <c r="R72" s="512">
        <v>0</v>
      </c>
      <c r="S72" s="980">
        <f>SUM(P72:R72)</f>
        <v>87</v>
      </c>
      <c r="T72" s="155">
        <f t="shared" si="47"/>
        <v>1.0714285714285714</v>
      </c>
      <c r="U72" s="154">
        <v>39</v>
      </c>
      <c r="V72" s="154">
        <v>27</v>
      </c>
      <c r="W72" s="512">
        <v>0</v>
      </c>
      <c r="X72" s="980">
        <f>SUM(U72:W72)</f>
        <v>66</v>
      </c>
      <c r="Y72" s="602">
        <f t="shared" si="48"/>
        <v>-0.2413793103448276</v>
      </c>
      <c r="Z72" s="154">
        <v>120</v>
      </c>
      <c r="AA72" s="154">
        <v>0</v>
      </c>
      <c r="AB72" s="512">
        <v>0</v>
      </c>
      <c r="AC72" s="980">
        <f>SUM(Z72:AB72)</f>
        <v>120</v>
      </c>
      <c r="AD72" s="567">
        <f t="shared" si="49"/>
        <v>0.81818181818181823</v>
      </c>
      <c r="AE72" s="328"/>
      <c r="AF72" s="328"/>
      <c r="AG72" s="328"/>
      <c r="AH72" s="328"/>
    </row>
    <row r="73" spans="1:34" s="575" customFormat="1" ht="13.8" x14ac:dyDescent="0.25">
      <c r="A73" s="615" t="s">
        <v>961</v>
      </c>
      <c r="B73" s="611">
        <f t="shared" ref="B73:I73" si="50">SUM(B68:B72)</f>
        <v>1698</v>
      </c>
      <c r="C73" s="611">
        <f t="shared" si="50"/>
        <v>698</v>
      </c>
      <c r="D73" s="611">
        <f t="shared" si="50"/>
        <v>0</v>
      </c>
      <c r="E73" s="587">
        <f t="shared" si="50"/>
        <v>2396</v>
      </c>
      <c r="F73" s="611">
        <f t="shared" si="50"/>
        <v>2136</v>
      </c>
      <c r="G73" s="611">
        <f t="shared" si="50"/>
        <v>813</v>
      </c>
      <c r="H73" s="611">
        <f t="shared" si="50"/>
        <v>0</v>
      </c>
      <c r="I73" s="611">
        <f t="shared" si="50"/>
        <v>2949</v>
      </c>
      <c r="J73" s="731">
        <f t="shared" si="45"/>
        <v>0.23080133555926544</v>
      </c>
      <c r="K73" s="611">
        <f>SUM(K68:K72)</f>
        <v>2505</v>
      </c>
      <c r="L73" s="611">
        <f>SUM(L68:L72)</f>
        <v>918</v>
      </c>
      <c r="M73" s="611">
        <f>SUM(M68:M72)</f>
        <v>0</v>
      </c>
      <c r="N73" s="611">
        <f>SUM(N68:N72)</f>
        <v>3423</v>
      </c>
      <c r="O73" s="613">
        <f t="shared" si="46"/>
        <v>0.16073245167853509</v>
      </c>
      <c r="P73" s="611">
        <f>SUM(P68:P72)</f>
        <v>2904</v>
      </c>
      <c r="Q73" s="611">
        <f>SUM(Q68:Q72)</f>
        <v>666</v>
      </c>
      <c r="R73" s="611">
        <f>SUM(R68:R72)</f>
        <v>0</v>
      </c>
      <c r="S73" s="611">
        <f>SUM(S68:S72)</f>
        <v>3570</v>
      </c>
      <c r="T73" s="613">
        <f t="shared" si="47"/>
        <v>4.2944785276073622E-2</v>
      </c>
      <c r="U73" s="611">
        <f>SUM(U68:U72)</f>
        <v>2775</v>
      </c>
      <c r="V73" s="611">
        <f>SUM(V68:V72)</f>
        <v>546</v>
      </c>
      <c r="W73" s="611">
        <f>SUM(W68:W72)</f>
        <v>0</v>
      </c>
      <c r="X73" s="1249">
        <f>SUM(X68:X72)</f>
        <v>3321</v>
      </c>
      <c r="Y73" s="731">
        <f t="shared" si="48"/>
        <v>-6.9747899159663868E-2</v>
      </c>
      <c r="Z73" s="611">
        <f>SUM(Z68:Z72)</f>
        <v>2541</v>
      </c>
      <c r="AA73" s="611">
        <f>SUM(AA68:AA72)</f>
        <v>783</v>
      </c>
      <c r="AB73" s="611">
        <f>SUM(AB68:AB72)</f>
        <v>0</v>
      </c>
      <c r="AC73" s="611">
        <f>SUM(AC68:AC72)</f>
        <v>3324</v>
      </c>
      <c r="AD73" s="614">
        <f t="shared" si="49"/>
        <v>9.0334236675700087E-4</v>
      </c>
    </row>
    <row r="74" spans="1:34" x14ac:dyDescent="0.25">
      <c r="A74" s="564" t="s">
        <v>409</v>
      </c>
      <c r="B74" s="1088"/>
      <c r="C74" s="1088"/>
      <c r="D74" s="1088"/>
      <c r="E74" s="330"/>
      <c r="F74" s="151"/>
      <c r="G74" s="152"/>
      <c r="H74" s="152"/>
      <c r="I74" s="152"/>
      <c r="J74" s="330"/>
      <c r="K74" s="151"/>
      <c r="L74" s="152"/>
      <c r="M74" s="152"/>
      <c r="N74" s="152"/>
      <c r="O74" s="153"/>
      <c r="P74" s="151"/>
      <c r="Q74" s="152"/>
      <c r="R74" s="152"/>
      <c r="S74" s="152"/>
      <c r="T74" s="153"/>
      <c r="U74" s="151"/>
      <c r="V74" s="152"/>
      <c r="W74" s="152"/>
      <c r="X74" s="1251"/>
      <c r="Y74" s="330"/>
      <c r="Z74" s="151"/>
      <c r="AA74" s="152"/>
      <c r="AB74" s="152"/>
      <c r="AC74" s="152"/>
      <c r="AD74" s="565"/>
      <c r="AE74" s="328"/>
      <c r="AF74" s="328"/>
      <c r="AG74" s="328"/>
      <c r="AH74" s="328"/>
    </row>
    <row r="75" spans="1:34" x14ac:dyDescent="0.25">
      <c r="A75" s="566" t="s">
        <v>990</v>
      </c>
      <c r="B75" s="1227">
        <v>2683</v>
      </c>
      <c r="C75" s="1227">
        <v>145</v>
      </c>
      <c r="D75" s="1228">
        <v>0</v>
      </c>
      <c r="E75" s="331">
        <f>SUM(B75:D75)</f>
        <v>2828</v>
      </c>
      <c r="F75" s="1227">
        <v>3116</v>
      </c>
      <c r="G75" s="1227">
        <v>183</v>
      </c>
      <c r="H75" s="1228">
        <v>0</v>
      </c>
      <c r="I75" s="154">
        <f>SUM(F75:H75)</f>
        <v>3299</v>
      </c>
      <c r="J75" s="602">
        <f t="shared" ref="J75:J80" si="51">IF(E75&gt;0,(I75-E75)/E75,(IF(I75=0,"N/A",100%)))</f>
        <v>0.16654879773691655</v>
      </c>
      <c r="K75" s="154">
        <v>3541</v>
      </c>
      <c r="L75" s="154">
        <v>195</v>
      </c>
      <c r="M75" s="512">
        <v>0</v>
      </c>
      <c r="N75" s="154">
        <f>SUM(K75:M75)</f>
        <v>3736</v>
      </c>
      <c r="O75" s="155">
        <f t="shared" ref="O75:O80" si="52">IF(I75&gt;0,(N75-I75)/I75,(IF(N75=0,"N/A",100%)))</f>
        <v>0.13246438314640802</v>
      </c>
      <c r="P75" s="154">
        <v>3935</v>
      </c>
      <c r="Q75" s="154">
        <v>204</v>
      </c>
      <c r="R75" s="512">
        <v>0</v>
      </c>
      <c r="S75" s="154">
        <f>SUM(P75:R75)</f>
        <v>4139</v>
      </c>
      <c r="T75" s="155">
        <f t="shared" ref="T75:T80" si="53">IF(N75&gt;0,(S75-N75)/N75,(IF(S75=0,"N/A",100%)))</f>
        <v>0.10786937901498929</v>
      </c>
      <c r="U75" s="154">
        <v>3746</v>
      </c>
      <c r="V75" s="154">
        <v>174</v>
      </c>
      <c r="W75" s="512">
        <v>0</v>
      </c>
      <c r="X75" s="980">
        <f>SUM(U75:W75)</f>
        <v>3920</v>
      </c>
      <c r="Y75" s="602">
        <f t="shared" ref="Y75:Y80" si="54">IF(S75&gt;0,(X75-S75)/S75,(IF(X75=0,"N/A",100%)))</f>
        <v>-5.2911331239429815E-2</v>
      </c>
      <c r="Z75" s="154">
        <v>3608</v>
      </c>
      <c r="AA75" s="154">
        <v>276</v>
      </c>
      <c r="AB75" s="512">
        <v>0</v>
      </c>
      <c r="AC75" s="154">
        <f>SUM(Z75:AB75)</f>
        <v>3884</v>
      </c>
      <c r="AD75" s="567">
        <f t="shared" ref="AD75:AD80" si="55">IF(X75&gt;0,(AC75-X75)/X75,(IF(AC75=0,"N/A",100%)))</f>
        <v>-9.1836734693877559E-3</v>
      </c>
      <c r="AE75" s="328"/>
      <c r="AF75" s="328"/>
      <c r="AG75" s="328"/>
      <c r="AH75" s="328"/>
    </row>
    <row r="76" spans="1:34" x14ac:dyDescent="0.25">
      <c r="A76" s="566" t="s">
        <v>1521</v>
      </c>
      <c r="B76" s="1227">
        <v>0</v>
      </c>
      <c r="C76" s="1227">
        <v>0</v>
      </c>
      <c r="D76" s="1228">
        <v>0</v>
      </c>
      <c r="E76" s="331">
        <f>SUM(B76:D76)</f>
        <v>0</v>
      </c>
      <c r="F76" s="1227">
        <v>0</v>
      </c>
      <c r="G76" s="1227">
        <v>0</v>
      </c>
      <c r="H76" s="1228">
        <v>0</v>
      </c>
      <c r="I76" s="154">
        <f>SUM(F76:H76)</f>
        <v>0</v>
      </c>
      <c r="J76" s="602" t="str">
        <f t="shared" si="51"/>
        <v>N/A</v>
      </c>
      <c r="K76" s="154">
        <v>0</v>
      </c>
      <c r="L76" s="154">
        <v>0</v>
      </c>
      <c r="M76" s="512">
        <v>0</v>
      </c>
      <c r="N76" s="154">
        <f>SUM(K76:M76)</f>
        <v>0</v>
      </c>
      <c r="O76" s="155" t="str">
        <f t="shared" si="52"/>
        <v>N/A</v>
      </c>
      <c r="P76" s="154">
        <v>0</v>
      </c>
      <c r="Q76" s="154">
        <v>0</v>
      </c>
      <c r="R76" s="512">
        <v>0</v>
      </c>
      <c r="S76" s="154">
        <f>SUM(P76:R76)</f>
        <v>0</v>
      </c>
      <c r="T76" s="155" t="str">
        <f t="shared" si="53"/>
        <v>N/A</v>
      </c>
      <c r="U76" s="154">
        <v>0</v>
      </c>
      <c r="V76" s="154">
        <v>0</v>
      </c>
      <c r="W76" s="512">
        <v>0</v>
      </c>
      <c r="X76" s="980">
        <f>SUM(U76:W76)</f>
        <v>0</v>
      </c>
      <c r="Y76" s="602" t="str">
        <f t="shared" si="54"/>
        <v>N/A</v>
      </c>
      <c r="Z76" s="154">
        <v>39</v>
      </c>
      <c r="AA76" s="154">
        <v>0</v>
      </c>
      <c r="AB76" s="512">
        <v>0</v>
      </c>
      <c r="AC76" s="154">
        <f>SUM(Z76:AB76)</f>
        <v>39</v>
      </c>
      <c r="AD76" s="567">
        <f t="shared" si="55"/>
        <v>1</v>
      </c>
      <c r="AE76" s="328"/>
      <c r="AF76" s="328"/>
      <c r="AG76" s="328"/>
      <c r="AH76" s="328"/>
    </row>
    <row r="77" spans="1:34" x14ac:dyDescent="0.25">
      <c r="A77" s="566" t="s">
        <v>991</v>
      </c>
      <c r="B77" s="1227">
        <v>105</v>
      </c>
      <c r="C77" s="1227">
        <v>0</v>
      </c>
      <c r="D77" s="1228">
        <v>0</v>
      </c>
      <c r="E77" s="331">
        <f>SUM(B77:D77)</f>
        <v>105</v>
      </c>
      <c r="F77" s="1227">
        <v>135</v>
      </c>
      <c r="G77" s="1227">
        <v>0</v>
      </c>
      <c r="H77" s="1228">
        <v>0</v>
      </c>
      <c r="I77" s="154">
        <f>SUM(F77:H77)</f>
        <v>135</v>
      </c>
      <c r="J77" s="602">
        <f t="shared" si="51"/>
        <v>0.2857142857142857</v>
      </c>
      <c r="K77" s="154">
        <v>132</v>
      </c>
      <c r="L77" s="154">
        <v>3</v>
      </c>
      <c r="M77" s="512">
        <v>0</v>
      </c>
      <c r="N77" s="154">
        <f>SUM(K77:M77)</f>
        <v>135</v>
      </c>
      <c r="O77" s="155">
        <f t="shared" si="52"/>
        <v>0</v>
      </c>
      <c r="P77" s="154">
        <v>135</v>
      </c>
      <c r="Q77" s="154">
        <v>0</v>
      </c>
      <c r="R77" s="512">
        <v>0</v>
      </c>
      <c r="S77" s="154">
        <f>SUM(P77:R77)</f>
        <v>135</v>
      </c>
      <c r="T77" s="155">
        <f t="shared" si="53"/>
        <v>0</v>
      </c>
      <c r="U77" s="154">
        <v>147</v>
      </c>
      <c r="V77" s="154">
        <v>0</v>
      </c>
      <c r="W77" s="512">
        <v>0</v>
      </c>
      <c r="X77" s="980">
        <f>SUM(U77:W77)</f>
        <v>147</v>
      </c>
      <c r="Y77" s="602">
        <f t="shared" si="54"/>
        <v>8.8888888888888892E-2</v>
      </c>
      <c r="Z77" s="154">
        <v>159</v>
      </c>
      <c r="AA77" s="154">
        <v>6</v>
      </c>
      <c r="AB77" s="512">
        <v>0</v>
      </c>
      <c r="AC77" s="154">
        <f>SUM(Z77:AB77)</f>
        <v>165</v>
      </c>
      <c r="AD77" s="567">
        <f t="shared" si="55"/>
        <v>0.12244897959183673</v>
      </c>
      <c r="AE77" s="328"/>
      <c r="AF77" s="328"/>
      <c r="AG77" s="328"/>
      <c r="AH77" s="328"/>
    </row>
    <row r="78" spans="1:34" x14ac:dyDescent="0.25">
      <c r="A78" s="566" t="s">
        <v>995</v>
      </c>
      <c r="B78" s="1227">
        <v>882</v>
      </c>
      <c r="C78" s="1227">
        <v>70</v>
      </c>
      <c r="D78" s="1228">
        <v>0</v>
      </c>
      <c r="E78" s="331">
        <f>SUM(B78:D78)</f>
        <v>952</v>
      </c>
      <c r="F78" s="1227">
        <v>855</v>
      </c>
      <c r="G78" s="1227">
        <v>57</v>
      </c>
      <c r="H78" s="1228">
        <v>0</v>
      </c>
      <c r="I78" s="154">
        <f>SUM(F78:H78)</f>
        <v>912</v>
      </c>
      <c r="J78" s="602">
        <f t="shared" si="51"/>
        <v>-4.2016806722689079E-2</v>
      </c>
      <c r="K78" s="154">
        <v>938</v>
      </c>
      <c r="L78" s="154">
        <v>36</v>
      </c>
      <c r="M78" s="512">
        <v>0</v>
      </c>
      <c r="N78" s="154">
        <f>SUM(K78:M78)</f>
        <v>974</v>
      </c>
      <c r="O78" s="155">
        <f t="shared" si="52"/>
        <v>6.798245614035088E-2</v>
      </c>
      <c r="P78" s="154">
        <v>1017</v>
      </c>
      <c r="Q78" s="154">
        <v>57</v>
      </c>
      <c r="R78" s="512">
        <v>0</v>
      </c>
      <c r="S78" s="154">
        <f>SUM(P78:R78)</f>
        <v>1074</v>
      </c>
      <c r="T78" s="155">
        <f t="shared" si="53"/>
        <v>0.10266940451745379</v>
      </c>
      <c r="U78" s="154">
        <v>1170</v>
      </c>
      <c r="V78" s="154">
        <v>71</v>
      </c>
      <c r="W78" s="512">
        <v>0</v>
      </c>
      <c r="X78" s="980">
        <f>SUM(U78:W78)</f>
        <v>1241</v>
      </c>
      <c r="Y78" s="602">
        <f t="shared" si="54"/>
        <v>0.15549348230912477</v>
      </c>
      <c r="Z78" s="154">
        <v>1227</v>
      </c>
      <c r="AA78" s="154">
        <v>99</v>
      </c>
      <c r="AB78" s="512">
        <v>0</v>
      </c>
      <c r="AC78" s="154">
        <f>SUM(Z78:AB78)</f>
        <v>1326</v>
      </c>
      <c r="AD78" s="567">
        <f t="shared" si="55"/>
        <v>6.8493150684931503E-2</v>
      </c>
      <c r="AE78" s="328"/>
      <c r="AF78" s="328"/>
      <c r="AG78" s="328"/>
      <c r="AH78" s="328"/>
    </row>
    <row r="79" spans="1:34" s="575" customFormat="1" ht="13.8" x14ac:dyDescent="0.25">
      <c r="A79" s="615" t="s">
        <v>961</v>
      </c>
      <c r="B79" s="611">
        <f t="shared" ref="B79:I79" si="56">SUM(B75:B78)</f>
        <v>3670</v>
      </c>
      <c r="C79" s="611">
        <f t="shared" si="56"/>
        <v>215</v>
      </c>
      <c r="D79" s="611">
        <f t="shared" si="56"/>
        <v>0</v>
      </c>
      <c r="E79" s="612">
        <f t="shared" si="56"/>
        <v>3885</v>
      </c>
      <c r="F79" s="611">
        <f>SUM(F75:F78)</f>
        <v>4106</v>
      </c>
      <c r="G79" s="611">
        <f>SUM(G75:G78)</f>
        <v>240</v>
      </c>
      <c r="H79" s="611">
        <f>SUM(H75:H78)</f>
        <v>0</v>
      </c>
      <c r="I79" s="611">
        <f t="shared" si="56"/>
        <v>4346</v>
      </c>
      <c r="J79" s="731">
        <f t="shared" si="51"/>
        <v>0.11866151866151867</v>
      </c>
      <c r="K79" s="611">
        <f>SUM(K75:K78)</f>
        <v>4611</v>
      </c>
      <c r="L79" s="611">
        <f>SUM(L75:L78)</f>
        <v>234</v>
      </c>
      <c r="M79" s="611">
        <f>SUM(M75:M78)</f>
        <v>0</v>
      </c>
      <c r="N79" s="611">
        <f>SUM(N75:N78)</f>
        <v>4845</v>
      </c>
      <c r="O79" s="613">
        <f t="shared" si="52"/>
        <v>0.11481822365393465</v>
      </c>
      <c r="P79" s="611">
        <f>SUM(P75:P78)</f>
        <v>5087</v>
      </c>
      <c r="Q79" s="611">
        <f>SUM(Q75:Q78)</f>
        <v>261</v>
      </c>
      <c r="R79" s="611">
        <f>SUM(R75:R78)</f>
        <v>0</v>
      </c>
      <c r="S79" s="611">
        <f>SUM(S75:S78)</f>
        <v>5348</v>
      </c>
      <c r="T79" s="613">
        <f t="shared" si="53"/>
        <v>0.10381836945304437</v>
      </c>
      <c r="U79" s="611">
        <f>SUM(U75:U78)</f>
        <v>5063</v>
      </c>
      <c r="V79" s="611">
        <f>SUM(V75:V78)</f>
        <v>245</v>
      </c>
      <c r="W79" s="611">
        <f>SUM(W75:W78)</f>
        <v>0</v>
      </c>
      <c r="X79" s="1249">
        <f>SUM(X75:X78)</f>
        <v>5308</v>
      </c>
      <c r="Y79" s="731">
        <f t="shared" si="54"/>
        <v>-7.4794315632011965E-3</v>
      </c>
      <c r="Z79" s="611">
        <f>SUM(Z75:Z78)</f>
        <v>5033</v>
      </c>
      <c r="AA79" s="611">
        <f>SUM(AA75:AA78)</f>
        <v>381</v>
      </c>
      <c r="AB79" s="611">
        <f>SUM(AB75:AB78)</f>
        <v>0</v>
      </c>
      <c r="AC79" s="611">
        <f>SUM(AC75:AC78)</f>
        <v>5414</v>
      </c>
      <c r="AD79" s="614">
        <f t="shared" si="55"/>
        <v>1.9969856819894497E-2</v>
      </c>
    </row>
    <row r="80" spans="1:34" s="596" customFormat="1" ht="16.2" thickBot="1" x14ac:dyDescent="0.35">
      <c r="A80" s="590" t="s">
        <v>414</v>
      </c>
      <c r="B80" s="591">
        <f t="shared" ref="B80:I80" si="57">+B52+B59+B66+B73+B79</f>
        <v>8255</v>
      </c>
      <c r="C80" s="591">
        <f t="shared" si="57"/>
        <v>2102</v>
      </c>
      <c r="D80" s="591">
        <f t="shared" si="57"/>
        <v>90</v>
      </c>
      <c r="E80" s="593">
        <f t="shared" si="57"/>
        <v>10447</v>
      </c>
      <c r="F80" s="591">
        <f t="shared" si="57"/>
        <v>9466</v>
      </c>
      <c r="G80" s="591">
        <f t="shared" si="57"/>
        <v>2535</v>
      </c>
      <c r="H80" s="591">
        <f t="shared" si="57"/>
        <v>126</v>
      </c>
      <c r="I80" s="591">
        <f t="shared" si="57"/>
        <v>12127</v>
      </c>
      <c r="J80" s="594">
        <f t="shared" si="51"/>
        <v>0.16081171628218627</v>
      </c>
      <c r="K80" s="591">
        <f>+K52+K59+K66+K73+K79</f>
        <v>11106</v>
      </c>
      <c r="L80" s="591">
        <f>+L52+L59+L66+L73+L79</f>
        <v>2577</v>
      </c>
      <c r="M80" s="591">
        <f>+M52+M59+M66+M73+M79</f>
        <v>45</v>
      </c>
      <c r="N80" s="591">
        <f>+N52+N59+N66+N73+N79</f>
        <v>13728</v>
      </c>
      <c r="O80" s="594">
        <f t="shared" si="52"/>
        <v>0.13201946070751217</v>
      </c>
      <c r="P80" s="591">
        <f>+P52+P59+P66+P73+P79</f>
        <v>12452</v>
      </c>
      <c r="Q80" s="591">
        <f>+Q52+Q59+Q66+Q73+Q79</f>
        <v>2261</v>
      </c>
      <c r="R80" s="591">
        <f>+R52+R59+R66+R73+R79</f>
        <v>108</v>
      </c>
      <c r="S80" s="591">
        <f>+S52+S59+S66+S73+S79</f>
        <v>14821</v>
      </c>
      <c r="T80" s="594">
        <f t="shared" si="53"/>
        <v>7.9618298368298368E-2</v>
      </c>
      <c r="U80" s="591">
        <f>+U52+U59+U66+U73+U79</f>
        <v>12421</v>
      </c>
      <c r="V80" s="591">
        <f>+V52+V59+V66+V73+V79</f>
        <v>2141</v>
      </c>
      <c r="W80" s="591">
        <f>+W52+W59+W66+W73+W79</f>
        <v>45</v>
      </c>
      <c r="X80" s="1252">
        <f>+X52+X59+X66+X73+X79</f>
        <v>14607</v>
      </c>
      <c r="Y80" s="594">
        <f t="shared" si="54"/>
        <v>-1.4438971729303016E-2</v>
      </c>
      <c r="Z80" s="591">
        <f>+Z52+Z59+Z66+Z73+Z79</f>
        <v>11746</v>
      </c>
      <c r="AA80" s="591">
        <f>+AA52+AA59+AA66+AA73+AA79</f>
        <v>2476</v>
      </c>
      <c r="AB80" s="591">
        <f>+AB52+AB59+AB66+AB73+AB79</f>
        <v>63</v>
      </c>
      <c r="AC80" s="591">
        <f>+AC52+AC59+AC66+AC73+AC79</f>
        <v>14285</v>
      </c>
      <c r="AD80" s="595">
        <f t="shared" si="55"/>
        <v>-2.2044225371397275E-2</v>
      </c>
    </row>
    <row r="81" spans="1:34" ht="14.25" customHeight="1" thickTop="1" x14ac:dyDescent="0.25">
      <c r="A81" s="604"/>
      <c r="B81" s="335"/>
      <c r="C81" s="335"/>
      <c r="D81" s="335"/>
      <c r="E81" s="335"/>
      <c r="F81" s="335"/>
      <c r="G81" s="335"/>
      <c r="H81" s="335"/>
      <c r="I81" s="335"/>
      <c r="J81" s="598"/>
      <c r="K81" s="328"/>
      <c r="L81" s="328"/>
      <c r="M81" s="328"/>
      <c r="N81" s="328"/>
      <c r="O81" s="328"/>
      <c r="P81" s="328"/>
      <c r="Q81" s="328"/>
      <c r="R81" s="328"/>
      <c r="S81" s="328"/>
      <c r="T81" s="328"/>
      <c r="U81" s="328"/>
      <c r="V81" s="328"/>
      <c r="W81" s="328"/>
      <c r="X81" s="328"/>
      <c r="Y81" s="328"/>
      <c r="Z81" s="328"/>
      <c r="AA81" s="328"/>
      <c r="AB81" s="328"/>
      <c r="AC81" s="328"/>
      <c r="AD81" s="328"/>
      <c r="AE81" s="328"/>
      <c r="AF81" s="328"/>
      <c r="AG81" s="328"/>
      <c r="AH81" s="328"/>
    </row>
    <row r="82" spans="1:34" ht="14.25" customHeight="1" thickBot="1" x14ac:dyDescent="0.3">
      <c r="A82" s="604"/>
      <c r="B82" s="335"/>
      <c r="C82" s="335"/>
      <c r="D82" s="335"/>
      <c r="E82" s="335"/>
      <c r="F82" s="335"/>
      <c r="G82" s="335"/>
      <c r="H82" s="335"/>
      <c r="I82" s="335"/>
      <c r="J82" s="598"/>
      <c r="K82" s="328"/>
      <c r="L82" s="328"/>
      <c r="M82" s="328"/>
      <c r="N82" s="328"/>
      <c r="O82" s="328"/>
      <c r="P82" s="328"/>
      <c r="Q82" s="328"/>
      <c r="R82" s="328"/>
      <c r="S82" s="328"/>
      <c r="T82" s="328"/>
      <c r="U82" s="328"/>
      <c r="V82" s="328"/>
      <c r="W82" s="328"/>
      <c r="X82" s="328"/>
      <c r="Y82" s="328"/>
      <c r="Z82" s="328"/>
      <c r="AA82" s="328"/>
      <c r="AB82" s="328"/>
      <c r="AC82" s="328"/>
      <c r="AD82" s="328"/>
      <c r="AE82" s="328"/>
      <c r="AF82" s="328"/>
      <c r="AG82" s="328"/>
      <c r="AH82" s="328"/>
    </row>
    <row r="83" spans="1:34" customFormat="1" ht="18" thickBot="1" x14ac:dyDescent="0.35">
      <c r="A83" s="1718" t="s">
        <v>400</v>
      </c>
      <c r="B83" s="1719"/>
      <c r="C83" s="1719"/>
      <c r="D83" s="1719"/>
      <c r="E83" s="1719"/>
      <c r="F83" s="1719"/>
      <c r="G83" s="1719"/>
      <c r="H83" s="1719"/>
      <c r="I83" s="1719"/>
      <c r="J83" s="1719"/>
      <c r="K83" s="1719"/>
      <c r="L83" s="1719"/>
      <c r="M83" s="1719"/>
      <c r="N83" s="1719"/>
      <c r="O83" s="1719"/>
      <c r="P83" s="1719"/>
      <c r="Q83" s="1719"/>
      <c r="R83" s="1719"/>
      <c r="S83" s="1719"/>
      <c r="T83" s="1719"/>
      <c r="U83" s="1719"/>
      <c r="V83" s="1719"/>
      <c r="W83" s="1719"/>
      <c r="X83" s="1719"/>
      <c r="Y83" s="1719"/>
      <c r="Z83" s="1719"/>
      <c r="AA83" s="1719"/>
      <c r="AB83" s="1719"/>
      <c r="AC83" s="1719"/>
      <c r="AD83" s="1720"/>
    </row>
    <row r="84" spans="1:34" ht="26.4" x14ac:dyDescent="0.25">
      <c r="A84" s="1723" t="s">
        <v>952</v>
      </c>
      <c r="B84" s="148" t="s">
        <v>954</v>
      </c>
      <c r="C84" s="148" t="s">
        <v>955</v>
      </c>
      <c r="D84" s="148" t="s">
        <v>956</v>
      </c>
      <c r="E84" s="820" t="s">
        <v>957</v>
      </c>
      <c r="F84" s="148" t="s">
        <v>954</v>
      </c>
      <c r="G84" s="148" t="s">
        <v>955</v>
      </c>
      <c r="H84" s="148" t="s">
        <v>956</v>
      </c>
      <c r="I84" s="150" t="s">
        <v>957</v>
      </c>
      <c r="J84" s="729" t="s">
        <v>958</v>
      </c>
      <c r="K84" s="148" t="s">
        <v>954</v>
      </c>
      <c r="L84" s="148" t="s">
        <v>955</v>
      </c>
      <c r="M84" s="148" t="s">
        <v>956</v>
      </c>
      <c r="N84" s="150" t="s">
        <v>957</v>
      </c>
      <c r="O84" s="750" t="s">
        <v>958</v>
      </c>
      <c r="P84" s="148" t="s">
        <v>954</v>
      </c>
      <c r="Q84" s="148" t="s">
        <v>955</v>
      </c>
      <c r="R84" s="148" t="s">
        <v>956</v>
      </c>
      <c r="S84" s="150" t="s">
        <v>957</v>
      </c>
      <c r="T84" s="1348" t="s">
        <v>958</v>
      </c>
      <c r="U84" s="148" t="s">
        <v>954</v>
      </c>
      <c r="V84" s="148" t="s">
        <v>955</v>
      </c>
      <c r="W84" s="148" t="s">
        <v>956</v>
      </c>
      <c r="X84" s="150" t="s">
        <v>957</v>
      </c>
      <c r="Y84" s="1277" t="s">
        <v>958</v>
      </c>
      <c r="Z84" s="148" t="s">
        <v>954</v>
      </c>
      <c r="AA84" s="148" t="s">
        <v>955</v>
      </c>
      <c r="AB84" s="148" t="s">
        <v>956</v>
      </c>
      <c r="AC84" s="150" t="s">
        <v>957</v>
      </c>
      <c r="AD84" s="563" t="s">
        <v>958</v>
      </c>
      <c r="AE84" s="328"/>
      <c r="AF84" s="328"/>
      <c r="AG84" s="328"/>
      <c r="AH84" s="328"/>
    </row>
    <row r="85" spans="1:34" x14ac:dyDescent="0.25">
      <c r="A85" s="1724"/>
      <c r="B85" s="740" t="s">
        <v>1441</v>
      </c>
      <c r="C85" s="148"/>
      <c r="D85" s="148"/>
      <c r="E85" s="729"/>
      <c r="F85" s="740" t="s">
        <v>1440</v>
      </c>
      <c r="G85" s="148"/>
      <c r="H85" s="148"/>
      <c r="I85" s="148"/>
      <c r="J85" s="818"/>
      <c r="K85" s="1726" t="s">
        <v>1390</v>
      </c>
      <c r="L85" s="1727"/>
      <c r="M85" s="1727"/>
      <c r="N85" s="1727"/>
      <c r="O85" s="1728"/>
      <c r="P85" s="819" t="s">
        <v>1391</v>
      </c>
      <c r="Q85" s="148"/>
      <c r="R85" s="148"/>
      <c r="S85" s="148"/>
      <c r="T85" s="818"/>
      <c r="U85" s="819" t="s">
        <v>1392</v>
      </c>
      <c r="V85" s="148"/>
      <c r="W85" s="148"/>
      <c r="X85" s="148"/>
      <c r="Y85" s="818"/>
      <c r="Z85" s="819" t="s">
        <v>1517</v>
      </c>
      <c r="AA85" s="148"/>
      <c r="AB85" s="148"/>
      <c r="AC85" s="148"/>
      <c r="AD85" s="741"/>
      <c r="AE85" s="328"/>
      <c r="AF85" s="328"/>
      <c r="AG85" s="328"/>
      <c r="AH85" s="328"/>
    </row>
    <row r="86" spans="1:34" x14ac:dyDescent="0.25">
      <c r="A86" s="564" t="s">
        <v>402</v>
      </c>
      <c r="B86" s="151"/>
      <c r="C86" s="152"/>
      <c r="D86" s="152"/>
      <c r="E86" s="330"/>
      <c r="F86" s="151"/>
      <c r="G86" s="152"/>
      <c r="H86" s="152"/>
      <c r="I86" s="152"/>
      <c r="J86" s="330"/>
      <c r="K86" s="151"/>
      <c r="L86" s="152"/>
      <c r="M86" s="152"/>
      <c r="N86" s="152"/>
      <c r="O86" s="153"/>
      <c r="P86" s="151"/>
      <c r="Q86" s="152"/>
      <c r="R86" s="152"/>
      <c r="S86" s="152"/>
      <c r="T86" s="330"/>
      <c r="U86" s="151"/>
      <c r="V86" s="152"/>
      <c r="W86" s="152"/>
      <c r="X86" s="152"/>
      <c r="Y86" s="330"/>
      <c r="Z86" s="151"/>
      <c r="AA86" s="152"/>
      <c r="AB86" s="152"/>
      <c r="AC86" s="152"/>
      <c r="AD86" s="565"/>
      <c r="AE86" s="328"/>
      <c r="AF86" s="328"/>
      <c r="AG86" s="328"/>
      <c r="AH86" s="328"/>
    </row>
    <row r="87" spans="1:34" x14ac:dyDescent="0.25">
      <c r="A87" s="566" t="s">
        <v>1006</v>
      </c>
      <c r="B87" s="1227">
        <v>1696</v>
      </c>
      <c r="C87" s="1227">
        <v>532</v>
      </c>
      <c r="D87" s="1228">
        <v>0</v>
      </c>
      <c r="E87" s="331">
        <f>SUM(B87:D87)</f>
        <v>2228</v>
      </c>
      <c r="F87" s="1227">
        <v>1540</v>
      </c>
      <c r="G87" s="1227">
        <v>621</v>
      </c>
      <c r="H87" s="1228">
        <v>0</v>
      </c>
      <c r="I87" s="154">
        <f>SUM(F87:H87)</f>
        <v>2161</v>
      </c>
      <c r="J87" s="602">
        <f>IF(E87&gt;0,(I87-E87)/E87,(IF(I87=0,"N/A",100%)))</f>
        <v>-3.0071813285457809E-2</v>
      </c>
      <c r="K87" s="154">
        <v>1905</v>
      </c>
      <c r="L87" s="154">
        <v>532</v>
      </c>
      <c r="M87" s="512">
        <v>0</v>
      </c>
      <c r="N87" s="154">
        <f>SUM(K87:M87)</f>
        <v>2437</v>
      </c>
      <c r="O87" s="155">
        <f>IF(I87&gt;0,(N87-I87)/I87,(IF(N87=0,"N/A",100%)))</f>
        <v>0.12771864877371586</v>
      </c>
      <c r="P87" s="154">
        <v>2248</v>
      </c>
      <c r="Q87" s="154">
        <v>563</v>
      </c>
      <c r="R87" s="512">
        <v>0</v>
      </c>
      <c r="S87" s="154">
        <f>SUM(P87:R87)</f>
        <v>2811</v>
      </c>
      <c r="T87" s="602">
        <f>IF(N87&gt;0,(S87-N87)/N87,(IF(S87=0,"N/A",100%)))</f>
        <v>0.15346737792367665</v>
      </c>
      <c r="U87" s="154">
        <v>2113</v>
      </c>
      <c r="V87" s="154">
        <v>288</v>
      </c>
      <c r="W87" s="512">
        <v>0</v>
      </c>
      <c r="X87" s="154">
        <f>SUM(U87:W87)</f>
        <v>2401</v>
      </c>
      <c r="Y87" s="602">
        <f>IF(S87&gt;0,(X87-S87)/S87,(IF(X87=0,"N/A",100%)))</f>
        <v>-0.14585556741373176</v>
      </c>
      <c r="Z87" s="154">
        <v>2072</v>
      </c>
      <c r="AA87" s="154">
        <v>311</v>
      </c>
      <c r="AB87" s="512">
        <v>0</v>
      </c>
      <c r="AC87" s="154">
        <f>SUM(Z87:AB87)</f>
        <v>2383</v>
      </c>
      <c r="AD87" s="567">
        <f>IF(X87&gt;0,(AC87-X87)/X87,(IF(AC87=0,"N/A",100%)))</f>
        <v>-7.4968763015410243E-3</v>
      </c>
      <c r="AE87" s="328"/>
      <c r="AF87" s="328"/>
      <c r="AG87" s="328"/>
      <c r="AH87" s="328"/>
    </row>
    <row r="88" spans="1:34" x14ac:dyDescent="0.25">
      <c r="A88" s="564" t="s">
        <v>403</v>
      </c>
      <c r="B88" s="1234"/>
      <c r="C88" s="1235"/>
      <c r="D88" s="1235"/>
      <c r="E88" s="330"/>
      <c r="F88" s="1234"/>
      <c r="G88" s="1235"/>
      <c r="H88" s="1235"/>
      <c r="I88" s="152"/>
      <c r="J88" s="330"/>
      <c r="K88" s="1088"/>
      <c r="L88" s="1088"/>
      <c r="M88" s="1088"/>
      <c r="N88" s="152"/>
      <c r="O88" s="153"/>
      <c r="P88" s="151"/>
      <c r="Q88" s="152"/>
      <c r="R88" s="152"/>
      <c r="S88" s="152"/>
      <c r="T88" s="330"/>
      <c r="U88" s="151"/>
      <c r="V88" s="152"/>
      <c r="W88" s="152"/>
      <c r="X88" s="152"/>
      <c r="Y88" s="330"/>
      <c r="Z88" s="151"/>
      <c r="AA88" s="152"/>
      <c r="AB88" s="152"/>
      <c r="AC88" s="152"/>
      <c r="AD88" s="565"/>
      <c r="AE88" s="328"/>
      <c r="AF88" s="328"/>
      <c r="AG88" s="328"/>
      <c r="AH88" s="328"/>
    </row>
    <row r="89" spans="1:34" x14ac:dyDescent="0.25">
      <c r="A89" s="566" t="s">
        <v>1302</v>
      </c>
      <c r="B89" s="1227">
        <v>399</v>
      </c>
      <c r="C89" s="1227">
        <v>66</v>
      </c>
      <c r="D89" s="1228">
        <v>0</v>
      </c>
      <c r="E89" s="331">
        <f>SUM(B89:D89)</f>
        <v>465</v>
      </c>
      <c r="F89" s="1227">
        <v>578</v>
      </c>
      <c r="G89" s="1227">
        <v>72</v>
      </c>
      <c r="H89" s="1228">
        <v>0</v>
      </c>
      <c r="I89" s="154">
        <f>SUM(F89:H89)</f>
        <v>650</v>
      </c>
      <c r="J89" s="602">
        <f>IF(E89&gt;0,(I89-E89)/E89,(IF(I89=0,"N/A",100%)))</f>
        <v>0.39784946236559138</v>
      </c>
      <c r="K89" s="154">
        <v>544</v>
      </c>
      <c r="L89" s="154">
        <v>75</v>
      </c>
      <c r="M89" s="512">
        <v>0</v>
      </c>
      <c r="N89" s="154">
        <f>SUM(K89:M89)</f>
        <v>619</v>
      </c>
      <c r="O89" s="155">
        <f>IF(I89&gt;0,(N89-I89)/I89,(IF(N89=0,"N/A",100%)))</f>
        <v>-4.7692307692307694E-2</v>
      </c>
      <c r="P89" s="154">
        <v>628</v>
      </c>
      <c r="Q89" s="154">
        <v>72</v>
      </c>
      <c r="R89" s="512">
        <v>0</v>
      </c>
      <c r="S89" s="154">
        <f>SUM(P89:R89)</f>
        <v>700</v>
      </c>
      <c r="T89" s="602">
        <f>IF(N89&gt;0,(S89-N89)/N89,(IF(S89=0,"N/A",100%)))</f>
        <v>0.13085621970920841</v>
      </c>
      <c r="U89" s="154">
        <v>552</v>
      </c>
      <c r="V89" s="154">
        <v>120</v>
      </c>
      <c r="W89" s="512">
        <v>0</v>
      </c>
      <c r="X89" s="154">
        <f>SUM(U89:W89)</f>
        <v>672</v>
      </c>
      <c r="Y89" s="602">
        <f>IF(S89&gt;0,(X89-S89)/S89,(IF(X89=0,"N/A",100%)))</f>
        <v>-0.04</v>
      </c>
      <c r="Z89" s="154">
        <v>588</v>
      </c>
      <c r="AA89" s="154">
        <v>75</v>
      </c>
      <c r="AB89" s="512">
        <v>0</v>
      </c>
      <c r="AC89" s="154">
        <f>SUM(Z89:AB89)</f>
        <v>663</v>
      </c>
      <c r="AD89" s="567">
        <f>IF(X89&gt;0,(AC89-X89)/X89,(IF(AC89=0,"N/A",100%)))</f>
        <v>-1.3392857142857142E-2</v>
      </c>
      <c r="AE89" s="328"/>
      <c r="AF89" s="328"/>
      <c r="AG89" s="328"/>
      <c r="AH89" s="328"/>
    </row>
    <row r="90" spans="1:34" x14ac:dyDescent="0.25">
      <c r="A90" s="566" t="s">
        <v>799</v>
      </c>
      <c r="B90" s="1227">
        <v>2574</v>
      </c>
      <c r="C90" s="1227">
        <v>108</v>
      </c>
      <c r="D90" s="1228">
        <v>0</v>
      </c>
      <c r="E90" s="331">
        <f>SUM(B90:D90)</f>
        <v>2682</v>
      </c>
      <c r="F90" s="1227">
        <v>2589</v>
      </c>
      <c r="G90" s="1227">
        <v>141</v>
      </c>
      <c r="H90" s="1228">
        <v>0</v>
      </c>
      <c r="I90" s="154">
        <f>SUM(F90:H90)</f>
        <v>2730</v>
      </c>
      <c r="J90" s="602">
        <f>IF(E90&gt;0,(I90-E90)/E90,(IF(I90=0,"N/A",100%)))</f>
        <v>1.7897091722595078E-2</v>
      </c>
      <c r="K90" s="154">
        <v>2721</v>
      </c>
      <c r="L90" s="154">
        <v>111</v>
      </c>
      <c r="M90" s="512">
        <v>0</v>
      </c>
      <c r="N90" s="154">
        <f>SUM(K90:M90)</f>
        <v>2832</v>
      </c>
      <c r="O90" s="155">
        <f>IF(I90&gt;0,(N90-I90)/I90,(IF(N90=0,"N/A",100%)))</f>
        <v>3.7362637362637362E-2</v>
      </c>
      <c r="P90" s="154">
        <v>3182</v>
      </c>
      <c r="Q90" s="154">
        <v>108</v>
      </c>
      <c r="R90" s="512">
        <v>0</v>
      </c>
      <c r="S90" s="154">
        <f>SUM(P90:R90)</f>
        <v>3290</v>
      </c>
      <c r="T90" s="602">
        <f>IF(N90&gt;0,(S90-N90)/N90,(IF(S90=0,"N/A",100%)))</f>
        <v>0.1617231638418079</v>
      </c>
      <c r="U90" s="154">
        <v>2905</v>
      </c>
      <c r="V90" s="154">
        <v>132</v>
      </c>
      <c r="W90" s="512">
        <v>0</v>
      </c>
      <c r="X90" s="154">
        <f>SUM(U90:W90)</f>
        <v>3037</v>
      </c>
      <c r="Y90" s="602">
        <f>IF(S90&gt;0,(X90-S90)/S90,(IF(X90=0,"N/A",100%)))</f>
        <v>-7.6899696048632213E-2</v>
      </c>
      <c r="Z90" s="154">
        <v>2734</v>
      </c>
      <c r="AA90" s="154">
        <v>183</v>
      </c>
      <c r="AB90" s="512">
        <v>0</v>
      </c>
      <c r="AC90" s="154">
        <f>SUM(Z90:AB90)</f>
        <v>2917</v>
      </c>
      <c r="AD90" s="567">
        <f>IF(X90&gt;0,(AC90-X90)/X90,(IF(AC90=0,"N/A",100%)))</f>
        <v>-3.9512676983865659E-2</v>
      </c>
      <c r="AE90" s="328"/>
      <c r="AF90" s="328"/>
      <c r="AG90" s="328"/>
      <c r="AH90" s="328"/>
    </row>
    <row r="91" spans="1:34" s="575" customFormat="1" ht="13.8" x14ac:dyDescent="0.25">
      <c r="A91" s="615" t="s">
        <v>961</v>
      </c>
      <c r="B91" s="611">
        <f t="shared" ref="B91:I91" si="58">SUM(B89:B90)</f>
        <v>2973</v>
      </c>
      <c r="C91" s="611">
        <f t="shared" si="58"/>
        <v>174</v>
      </c>
      <c r="D91" s="611">
        <f t="shared" si="58"/>
        <v>0</v>
      </c>
      <c r="E91" s="612">
        <f t="shared" si="58"/>
        <v>3147</v>
      </c>
      <c r="F91" s="611">
        <f t="shared" si="58"/>
        <v>3167</v>
      </c>
      <c r="G91" s="611">
        <f t="shared" si="58"/>
        <v>213</v>
      </c>
      <c r="H91" s="611">
        <f t="shared" si="58"/>
        <v>0</v>
      </c>
      <c r="I91" s="611">
        <f t="shared" si="58"/>
        <v>3380</v>
      </c>
      <c r="J91" s="731">
        <f>IF(E91&gt;0,(I91-E91)/E91,(IF(I91=0,"N/A",100%)))</f>
        <v>7.4038767079758497E-2</v>
      </c>
      <c r="K91" s="611">
        <f>SUM(K89:K90)</f>
        <v>3265</v>
      </c>
      <c r="L91" s="611">
        <f>SUM(L89:L90)</f>
        <v>186</v>
      </c>
      <c r="M91" s="611">
        <f>SUM(M89:M90)</f>
        <v>0</v>
      </c>
      <c r="N91" s="611">
        <f>SUM(N89:N90)</f>
        <v>3451</v>
      </c>
      <c r="O91" s="613">
        <f>IF(I91&gt;0,(N91-I91)/I91,(IF(N91=0,"N/A",100%)))</f>
        <v>2.1005917159763313E-2</v>
      </c>
      <c r="P91" s="611">
        <f>SUM(P89:P90)</f>
        <v>3810</v>
      </c>
      <c r="Q91" s="611">
        <f>SUM(Q89:Q90)</f>
        <v>180</v>
      </c>
      <c r="R91" s="611">
        <f>SUM(R89:R90)</f>
        <v>0</v>
      </c>
      <c r="S91" s="611">
        <f>SUM(S89:S90)</f>
        <v>3990</v>
      </c>
      <c r="T91" s="731">
        <f>IF(N91&gt;0,(S91-N91)/N91,(IF(S91=0,"N/A",100%)))</f>
        <v>0.15618661257606492</v>
      </c>
      <c r="U91" s="611">
        <f>SUM(U89:U90)</f>
        <v>3457</v>
      </c>
      <c r="V91" s="611">
        <f>SUM(V89:V90)</f>
        <v>252</v>
      </c>
      <c r="W91" s="611">
        <f>SUM(W89:W90)</f>
        <v>0</v>
      </c>
      <c r="X91" s="611">
        <f>SUM(X89:X90)</f>
        <v>3709</v>
      </c>
      <c r="Y91" s="731">
        <f>IF(S91&gt;0,(X91-S91)/S91,(IF(X91=0,"N/A",100%)))</f>
        <v>-7.0426065162907267E-2</v>
      </c>
      <c r="Z91" s="611">
        <f>SUM(Z89:Z90)</f>
        <v>3322</v>
      </c>
      <c r="AA91" s="611">
        <f>SUM(AA89:AA90)</f>
        <v>258</v>
      </c>
      <c r="AB91" s="611">
        <f>SUM(AB89:AB90)</f>
        <v>0</v>
      </c>
      <c r="AC91" s="611">
        <f>SUM(AC89:AC90)</f>
        <v>3580</v>
      </c>
      <c r="AD91" s="614">
        <f>IF(X91&gt;0,(AC91-X91)/X91,(IF(AC91=0,"N/A",100%)))</f>
        <v>-3.4780264222162308E-2</v>
      </c>
    </row>
    <row r="92" spans="1:34" customFormat="1" x14ac:dyDescent="0.25">
      <c r="A92" s="640" t="s">
        <v>405</v>
      </c>
      <c r="B92" s="1088"/>
      <c r="C92" s="1088"/>
      <c r="D92" s="1088"/>
      <c r="E92" s="618"/>
      <c r="F92" s="619"/>
      <c r="G92" s="617"/>
      <c r="H92" s="617"/>
      <c r="I92" s="617"/>
      <c r="J92" s="618"/>
      <c r="K92" s="619"/>
      <c r="L92" s="617"/>
      <c r="M92" s="617"/>
      <c r="N92" s="617"/>
      <c r="O92" s="618"/>
      <c r="P92" s="619"/>
      <c r="Q92" s="617"/>
      <c r="R92" s="617"/>
      <c r="S92" s="617"/>
      <c r="T92" s="618"/>
      <c r="U92" s="619"/>
      <c r="V92" s="617"/>
      <c r="W92" s="617"/>
      <c r="X92" s="617"/>
      <c r="Y92" s="618"/>
      <c r="Z92" s="619"/>
      <c r="AA92" s="617"/>
      <c r="AB92" s="617"/>
      <c r="AC92" s="617"/>
      <c r="AD92" s="620"/>
    </row>
    <row r="93" spans="1:34" x14ac:dyDescent="0.25">
      <c r="A93" s="579" t="s">
        <v>1007</v>
      </c>
      <c r="B93" s="1229">
        <v>1492</v>
      </c>
      <c r="C93" s="1230">
        <v>164</v>
      </c>
      <c r="D93" s="1228">
        <v>0</v>
      </c>
      <c r="E93" s="375">
        <f>SUM(B93:D93)</f>
        <v>1656</v>
      </c>
      <c r="F93" s="1229">
        <v>1540</v>
      </c>
      <c r="G93" s="1230">
        <v>212</v>
      </c>
      <c r="H93" s="1228">
        <v>0</v>
      </c>
      <c r="I93" s="581">
        <f>SUM(F93:H93)</f>
        <v>1752</v>
      </c>
      <c r="J93" s="582">
        <f>IF(E93&gt;0,(I93-E93)/E93,(IF(I93=0,"N/A",100%)))</f>
        <v>5.7971014492753624E-2</v>
      </c>
      <c r="K93" s="580">
        <v>1816</v>
      </c>
      <c r="L93" s="581">
        <v>171</v>
      </c>
      <c r="M93" s="512">
        <v>0</v>
      </c>
      <c r="N93" s="581">
        <f>SUM(K93:M93)</f>
        <v>1987</v>
      </c>
      <c r="O93" s="582">
        <f>IF(I93&gt;0,(N93-I93)/I93,(IF(N93=0,"N/A",100%)))</f>
        <v>0.1341324200913242</v>
      </c>
      <c r="P93" s="580">
        <v>2016</v>
      </c>
      <c r="Q93" s="581">
        <v>167</v>
      </c>
      <c r="R93" s="512">
        <v>0</v>
      </c>
      <c r="S93" s="581">
        <f>SUM(P93:R93)</f>
        <v>2183</v>
      </c>
      <c r="T93" s="582">
        <f>IF(N93&gt;0,(S93-N93)/N93,(IF(S93=0,"N/A",100%)))</f>
        <v>9.8641167589330656E-2</v>
      </c>
      <c r="U93" s="580">
        <v>1964</v>
      </c>
      <c r="V93" s="581">
        <v>156</v>
      </c>
      <c r="W93" s="512">
        <v>0</v>
      </c>
      <c r="X93" s="581">
        <f>SUM(U93:W93)</f>
        <v>2120</v>
      </c>
      <c r="Y93" s="582">
        <f>IF(S93&gt;0,(X93-S93)/S93,(IF(X93=0,"N/A",100%)))</f>
        <v>-2.8859367842418691E-2</v>
      </c>
      <c r="Z93" s="580">
        <v>2096</v>
      </c>
      <c r="AA93" s="581">
        <v>170</v>
      </c>
      <c r="AB93" s="512">
        <v>0</v>
      </c>
      <c r="AC93" s="581">
        <f>SUM(Z93:AB93)</f>
        <v>2266</v>
      </c>
      <c r="AD93" s="583">
        <f>IF(X93&gt;0,(AC93-X93)/X93,(IF(AC93=0,"N/A",100%)))</f>
        <v>6.8867924528301885E-2</v>
      </c>
      <c r="AE93" s="328"/>
      <c r="AF93" s="328"/>
      <c r="AG93" s="328"/>
      <c r="AH93" s="328"/>
    </row>
    <row r="94" spans="1:34" x14ac:dyDescent="0.25">
      <c r="A94" s="566" t="s">
        <v>1008</v>
      </c>
      <c r="B94" s="1229">
        <v>0</v>
      </c>
      <c r="C94" s="1230">
        <v>12</v>
      </c>
      <c r="D94" s="1228">
        <v>0</v>
      </c>
      <c r="E94" s="375">
        <f>SUM(B94:D94)</f>
        <v>12</v>
      </c>
      <c r="F94" s="1229">
        <v>0</v>
      </c>
      <c r="G94" s="1230">
        <v>54</v>
      </c>
      <c r="H94" s="1228">
        <v>0</v>
      </c>
      <c r="I94" s="581">
        <f>SUM(F94:H94)</f>
        <v>54</v>
      </c>
      <c r="J94" s="582">
        <f>IF(E94&gt;0,(I94-E94)/E94,(IF(I94=0,"N/A",100%)))</f>
        <v>3.5</v>
      </c>
      <c r="K94" s="580">
        <v>0</v>
      </c>
      <c r="L94" s="581">
        <v>53</v>
      </c>
      <c r="M94" s="512">
        <v>0</v>
      </c>
      <c r="N94" s="581">
        <f>SUM(K94:M94)</f>
        <v>53</v>
      </c>
      <c r="O94" s="582">
        <f>IF(I94&gt;0,(N94-I94)/I94,(IF(N94=0,"N/A",100%)))</f>
        <v>-1.8518518518518517E-2</v>
      </c>
      <c r="P94" s="580">
        <v>0</v>
      </c>
      <c r="Q94" s="581">
        <v>78</v>
      </c>
      <c r="R94" s="512">
        <v>0</v>
      </c>
      <c r="S94" s="581">
        <f>SUM(P94:R94)</f>
        <v>78</v>
      </c>
      <c r="T94" s="582">
        <f>IF(N94&gt;0,(S94-N94)/N94,(IF(S94=0,"N/A",100%)))</f>
        <v>0.47169811320754718</v>
      </c>
      <c r="U94" s="580">
        <v>0</v>
      </c>
      <c r="V94" s="581">
        <v>75</v>
      </c>
      <c r="W94" s="512">
        <v>0</v>
      </c>
      <c r="X94" s="581">
        <f>SUM(U94:W94)</f>
        <v>75</v>
      </c>
      <c r="Y94" s="582">
        <f>IF(S94&gt;0,(X94-S94)/S94,(IF(X94=0,"N/A",100%)))</f>
        <v>-3.8461538461538464E-2</v>
      </c>
      <c r="Z94" s="580">
        <v>0</v>
      </c>
      <c r="AA94" s="581">
        <v>87</v>
      </c>
      <c r="AB94" s="512">
        <v>0</v>
      </c>
      <c r="AC94" s="581">
        <f>SUM(Z94:AB94)</f>
        <v>87</v>
      </c>
      <c r="AD94" s="583">
        <f>IF(X94&gt;0,(AC94-X94)/X94,(IF(AC94=0,"N/A",100%)))</f>
        <v>0.16</v>
      </c>
      <c r="AE94" s="328"/>
      <c r="AF94" s="328"/>
      <c r="AG94" s="328"/>
      <c r="AH94" s="328"/>
    </row>
    <row r="95" spans="1:34" x14ac:dyDescent="0.25">
      <c r="A95" s="566" t="s">
        <v>1010</v>
      </c>
      <c r="B95" s="1229">
        <v>124</v>
      </c>
      <c r="C95" s="1230">
        <v>0</v>
      </c>
      <c r="D95" s="1228">
        <v>0</v>
      </c>
      <c r="E95" s="375">
        <f>SUM(B95:D95)</f>
        <v>124</v>
      </c>
      <c r="F95" s="1229">
        <v>128</v>
      </c>
      <c r="G95" s="1230">
        <v>0</v>
      </c>
      <c r="H95" s="1228">
        <v>0</v>
      </c>
      <c r="I95" s="581">
        <f>SUM(F95:H95)</f>
        <v>128</v>
      </c>
      <c r="J95" s="582">
        <f>IF(E95&gt;0,(I95-E95)/E95,(IF(I95=0,"N/A",100%)))</f>
        <v>3.2258064516129031E-2</v>
      </c>
      <c r="K95" s="580">
        <v>132</v>
      </c>
      <c r="L95" s="581">
        <v>0</v>
      </c>
      <c r="M95" s="512">
        <v>0</v>
      </c>
      <c r="N95" s="581">
        <f>SUM(K95:M95)</f>
        <v>132</v>
      </c>
      <c r="O95" s="582">
        <f>IF(I95&gt;0,(N95-I95)/I95,(IF(N95=0,"N/A",100%)))</f>
        <v>3.125E-2</v>
      </c>
      <c r="P95" s="580">
        <v>160</v>
      </c>
      <c r="Q95" s="581">
        <v>3</v>
      </c>
      <c r="R95" s="512">
        <v>0</v>
      </c>
      <c r="S95" s="581">
        <f>SUM(P95:R95)</f>
        <v>163</v>
      </c>
      <c r="T95" s="582">
        <f>IF(N95&gt;0,(S95-N95)/N95,(IF(S95=0,"N/A",100%)))</f>
        <v>0.23484848484848486</v>
      </c>
      <c r="U95" s="580">
        <v>220</v>
      </c>
      <c r="V95" s="581">
        <v>0</v>
      </c>
      <c r="W95" s="512">
        <v>0</v>
      </c>
      <c r="X95" s="581">
        <f>SUM(U95:W95)</f>
        <v>220</v>
      </c>
      <c r="Y95" s="582">
        <f>IF(S95&gt;0,(X95-S95)/S95,(IF(X95=0,"N/A",100%)))</f>
        <v>0.34969325153374231</v>
      </c>
      <c r="Z95" s="580">
        <v>188</v>
      </c>
      <c r="AA95" s="581">
        <v>0</v>
      </c>
      <c r="AB95" s="512">
        <v>0</v>
      </c>
      <c r="AC95" s="581">
        <f>SUM(Z95:AB95)</f>
        <v>188</v>
      </c>
      <c r="AD95" s="583">
        <f>IF(X95&gt;0,(AC95-X95)/X95,(IF(AC95=0,"N/A",100%)))</f>
        <v>-0.14545454545454545</v>
      </c>
      <c r="AE95" s="328"/>
      <c r="AF95" s="328"/>
      <c r="AG95" s="328"/>
      <c r="AH95" s="328"/>
    </row>
    <row r="96" spans="1:34" x14ac:dyDescent="0.25">
      <c r="A96" s="566" t="s">
        <v>1011</v>
      </c>
      <c r="B96" s="1229">
        <v>476</v>
      </c>
      <c r="C96" s="1230">
        <v>0</v>
      </c>
      <c r="D96" s="1228">
        <v>0</v>
      </c>
      <c r="E96" s="375">
        <f>SUM(B96:D96)</f>
        <v>476</v>
      </c>
      <c r="F96" s="1229">
        <v>476</v>
      </c>
      <c r="G96" s="1230">
        <v>0</v>
      </c>
      <c r="H96" s="1228">
        <v>0</v>
      </c>
      <c r="I96" s="581">
        <f>SUM(F96:H96)</f>
        <v>476</v>
      </c>
      <c r="J96" s="582">
        <f>IF(E96&gt;0,(I96-E96)/E96,(IF(I96=0,"N/A",100%)))</f>
        <v>0</v>
      </c>
      <c r="K96" s="580">
        <v>492</v>
      </c>
      <c r="L96" s="581">
        <v>0</v>
      </c>
      <c r="M96" s="512">
        <v>0</v>
      </c>
      <c r="N96" s="581">
        <f>SUM(K96:M96)</f>
        <v>492</v>
      </c>
      <c r="O96" s="582">
        <f>IF(I96&gt;0,(N96-I96)/I96,(IF(N96=0,"N/A",100%)))</f>
        <v>3.3613445378151259E-2</v>
      </c>
      <c r="P96" s="580">
        <v>480</v>
      </c>
      <c r="Q96" s="581">
        <v>0</v>
      </c>
      <c r="R96" s="512">
        <v>0</v>
      </c>
      <c r="S96" s="581">
        <f>SUM(P96:R96)</f>
        <v>480</v>
      </c>
      <c r="T96" s="582">
        <f>IF(N96&gt;0,(S96-N96)/N96,(IF(S96=0,"N/A",100%)))</f>
        <v>-2.4390243902439025E-2</v>
      </c>
      <c r="U96" s="580">
        <v>388</v>
      </c>
      <c r="V96" s="581">
        <v>0</v>
      </c>
      <c r="W96" s="512">
        <v>0</v>
      </c>
      <c r="X96" s="581">
        <f>SUM(U96:W96)</f>
        <v>388</v>
      </c>
      <c r="Y96" s="582">
        <f>IF(S96&gt;0,(X96-S96)/S96,(IF(X96=0,"N/A",100%)))</f>
        <v>-0.19166666666666668</v>
      </c>
      <c r="Z96" s="580">
        <v>480</v>
      </c>
      <c r="AA96" s="581">
        <v>0</v>
      </c>
      <c r="AB96" s="512">
        <v>0</v>
      </c>
      <c r="AC96" s="581">
        <f>SUM(Z96:AB96)</f>
        <v>480</v>
      </c>
      <c r="AD96" s="583">
        <f>IF(X96&gt;0,(AC96-X96)/X96,(IF(AC96=0,"N/A",100%)))</f>
        <v>0.23711340206185566</v>
      </c>
      <c r="AE96" s="328"/>
      <c r="AF96" s="328"/>
      <c r="AG96" s="328"/>
      <c r="AH96" s="328"/>
    </row>
    <row r="97" spans="1:34" s="575" customFormat="1" ht="13.8" x14ac:dyDescent="0.25">
      <c r="A97" s="615" t="s">
        <v>961</v>
      </c>
      <c r="B97" s="585">
        <f t="shared" ref="B97:I97" si="59">SUM(B93:B96)</f>
        <v>2092</v>
      </c>
      <c r="C97" s="586">
        <f t="shared" si="59"/>
        <v>176</v>
      </c>
      <c r="D97" s="586">
        <f t="shared" si="59"/>
        <v>0</v>
      </c>
      <c r="E97" s="587">
        <f t="shared" si="59"/>
        <v>2268</v>
      </c>
      <c r="F97" s="585">
        <f t="shared" si="59"/>
        <v>2144</v>
      </c>
      <c r="G97" s="586">
        <f t="shared" si="59"/>
        <v>266</v>
      </c>
      <c r="H97" s="586">
        <f t="shared" si="59"/>
        <v>0</v>
      </c>
      <c r="I97" s="586">
        <f t="shared" si="59"/>
        <v>2410</v>
      </c>
      <c r="J97" s="588">
        <f>IF(E97&gt;0,(I97-E97)/E97,(IF(I97=0,"N/A",100%)))</f>
        <v>6.261022927689594E-2</v>
      </c>
      <c r="K97" s="585">
        <f>SUM(K93:K96)</f>
        <v>2440</v>
      </c>
      <c r="L97" s="586">
        <f>SUM(L93:L96)</f>
        <v>224</v>
      </c>
      <c r="M97" s="586">
        <f>SUM(M93:M96)</f>
        <v>0</v>
      </c>
      <c r="N97" s="586">
        <f>SUM(N93:N96)</f>
        <v>2664</v>
      </c>
      <c r="O97" s="588">
        <f>IF(I97&gt;0,(N97-I97)/I97,(IF(N97=0,"N/A",100%)))</f>
        <v>0.10539419087136929</v>
      </c>
      <c r="P97" s="585">
        <f>SUM(P93:P96)</f>
        <v>2656</v>
      </c>
      <c r="Q97" s="586">
        <f>SUM(Q93:Q96)</f>
        <v>248</v>
      </c>
      <c r="R97" s="586">
        <f>SUM(R93:R96)</f>
        <v>0</v>
      </c>
      <c r="S97" s="586">
        <f>SUM(S93:S96)</f>
        <v>2904</v>
      </c>
      <c r="T97" s="588">
        <f>IF(N97&gt;0,(S97-N97)/N97,(IF(S97=0,"N/A",100%)))</f>
        <v>9.0090090090090086E-2</v>
      </c>
      <c r="U97" s="585">
        <f>SUM(U93:U96)</f>
        <v>2572</v>
      </c>
      <c r="V97" s="586">
        <f>SUM(V93:V96)</f>
        <v>231</v>
      </c>
      <c r="W97" s="586">
        <f>SUM(W93:W96)</f>
        <v>0</v>
      </c>
      <c r="X97" s="586">
        <f>SUM(X93:X96)</f>
        <v>2803</v>
      </c>
      <c r="Y97" s="588">
        <f>IF(S97&gt;0,(X97-S97)/S97,(IF(X97=0,"N/A",100%)))</f>
        <v>-3.4779614325068868E-2</v>
      </c>
      <c r="Z97" s="585">
        <f>SUM(Z93:Z96)</f>
        <v>2764</v>
      </c>
      <c r="AA97" s="586">
        <f>SUM(AA93:AA96)</f>
        <v>257</v>
      </c>
      <c r="AB97" s="586">
        <f>SUM(AB93:AB96)</f>
        <v>0</v>
      </c>
      <c r="AC97" s="586">
        <f>SUM(AC93:AC96)</f>
        <v>3021</v>
      </c>
      <c r="AD97" s="589">
        <f>IF(X97&gt;0,(AC97-X97)/X97,(IF(AC97=0,"N/A",100%)))</f>
        <v>7.7773813770959682E-2</v>
      </c>
    </row>
    <row r="98" spans="1:34" customFormat="1" x14ac:dyDescent="0.25">
      <c r="A98" s="640" t="s">
        <v>404</v>
      </c>
      <c r="B98" s="1088"/>
      <c r="C98" s="1088"/>
      <c r="D98" s="1088"/>
      <c r="E98" s="618"/>
      <c r="F98" s="619"/>
      <c r="G98" s="617"/>
      <c r="H98" s="617"/>
      <c r="I98" s="617"/>
      <c r="J98" s="618"/>
      <c r="K98" s="619"/>
      <c r="L98" s="617"/>
      <c r="M98" s="617"/>
      <c r="N98" s="617"/>
      <c r="O98" s="618"/>
      <c r="P98" s="619"/>
      <c r="Q98" s="617"/>
      <c r="R98" s="617"/>
      <c r="S98" s="617"/>
      <c r="T98" s="618"/>
      <c r="U98" s="619"/>
      <c r="V98" s="617"/>
      <c r="W98" s="617"/>
      <c r="X98" s="617"/>
      <c r="Y98" s="618"/>
      <c r="Z98" s="619"/>
      <c r="AA98" s="617"/>
      <c r="AB98" s="617"/>
      <c r="AC98" s="617"/>
      <c r="AD98" s="620"/>
    </row>
    <row r="99" spans="1:34" x14ac:dyDescent="0.25">
      <c r="A99" s="579" t="s">
        <v>660</v>
      </c>
      <c r="B99" s="1229">
        <v>5</v>
      </c>
      <c r="C99" s="1230">
        <v>208</v>
      </c>
      <c r="D99" s="1228">
        <v>0</v>
      </c>
      <c r="E99" s="375">
        <f>SUM(B99:D99)</f>
        <v>213</v>
      </c>
      <c r="F99" s="1229">
        <v>8</v>
      </c>
      <c r="G99" s="1230">
        <v>128</v>
      </c>
      <c r="H99" s="1228">
        <v>0</v>
      </c>
      <c r="I99" s="581">
        <f>SUM(F99:H99)</f>
        <v>136</v>
      </c>
      <c r="J99" s="582">
        <f>IF(E99&gt;0,(I99-E99)/E99,(IF(I99=0,"N/A",100%)))</f>
        <v>-0.36150234741784038</v>
      </c>
      <c r="K99" s="580">
        <v>7</v>
      </c>
      <c r="L99" s="581">
        <v>127</v>
      </c>
      <c r="M99" s="512">
        <v>0</v>
      </c>
      <c r="N99" s="581">
        <f>SUM(K99:M99)</f>
        <v>134</v>
      </c>
      <c r="O99" s="582">
        <f>IF(I99&gt;0,(N99-I99)/I99,(IF(N99=0,"N/A",100%)))</f>
        <v>-1.4705882352941176E-2</v>
      </c>
      <c r="P99" s="580">
        <v>6</v>
      </c>
      <c r="Q99" s="581">
        <v>173</v>
      </c>
      <c r="R99" s="512">
        <v>0</v>
      </c>
      <c r="S99" s="581">
        <f>SUM(P99:R99)</f>
        <v>179</v>
      </c>
      <c r="T99" s="582">
        <f>IF(N99&gt;0,(S99-N99)/N99,(IF(S99=0,"N/A",100%)))</f>
        <v>0.33582089552238809</v>
      </c>
      <c r="U99" s="580">
        <v>65</v>
      </c>
      <c r="V99" s="581">
        <v>246</v>
      </c>
      <c r="W99" s="512">
        <v>0</v>
      </c>
      <c r="X99" s="581">
        <f>SUM(U99:W99)</f>
        <v>311</v>
      </c>
      <c r="Y99" s="582">
        <f>IF(S99&gt;0,(X99-S99)/S99,(IF(X99=0,"N/A",100%)))</f>
        <v>0.73743016759776536</v>
      </c>
      <c r="Z99" s="580">
        <v>64</v>
      </c>
      <c r="AA99" s="581">
        <v>201</v>
      </c>
      <c r="AB99" s="512">
        <v>0</v>
      </c>
      <c r="AC99" s="581">
        <f>SUM(Z99:AB99)</f>
        <v>265</v>
      </c>
      <c r="AD99" s="583">
        <f>IF(X99&gt;0,(AC99-X99)/X99,(IF(AC99=0,"N/A",100%)))</f>
        <v>-0.14790996784565916</v>
      </c>
      <c r="AE99" s="328"/>
      <c r="AF99" s="328"/>
      <c r="AG99" s="328"/>
      <c r="AH99" s="328"/>
    </row>
    <row r="100" spans="1:34" x14ac:dyDescent="0.25">
      <c r="A100" s="579" t="s">
        <v>997</v>
      </c>
      <c r="B100" s="1229">
        <v>389</v>
      </c>
      <c r="C100" s="1230">
        <v>682</v>
      </c>
      <c r="D100" s="1228">
        <v>0</v>
      </c>
      <c r="E100" s="375">
        <f>SUM(B100:D100)</f>
        <v>1071</v>
      </c>
      <c r="F100" s="1229">
        <v>451</v>
      </c>
      <c r="G100" s="1230">
        <v>711</v>
      </c>
      <c r="H100" s="1228">
        <v>0</v>
      </c>
      <c r="I100" s="581">
        <f>SUM(F100:H100)</f>
        <v>1162</v>
      </c>
      <c r="J100" s="582">
        <f>IF(E100&gt;0,(I100-E100)/E100,(IF(I100=0,"N/A",100%)))</f>
        <v>8.4967320261437912E-2</v>
      </c>
      <c r="K100" s="580">
        <v>468</v>
      </c>
      <c r="L100" s="581">
        <v>890</v>
      </c>
      <c r="M100" s="512">
        <v>0</v>
      </c>
      <c r="N100" s="581">
        <f>SUM(K100:M100)</f>
        <v>1358</v>
      </c>
      <c r="O100" s="582">
        <f>IF(I100&gt;0,(N100-I100)/I100,(IF(N100=0,"N/A",100%)))</f>
        <v>0.16867469879518071</v>
      </c>
      <c r="P100" s="580">
        <v>393</v>
      </c>
      <c r="Q100" s="581">
        <v>1151</v>
      </c>
      <c r="R100" s="512">
        <v>0</v>
      </c>
      <c r="S100" s="581">
        <f>SUM(P100:R100)</f>
        <v>1544</v>
      </c>
      <c r="T100" s="582">
        <f>IF(N100&gt;0,(S100-N100)/N100,(IF(S100=0,"N/A",100%)))</f>
        <v>0.13696612665684832</v>
      </c>
      <c r="U100" s="580">
        <v>595</v>
      </c>
      <c r="V100" s="581">
        <v>1322</v>
      </c>
      <c r="W100" s="512">
        <v>0</v>
      </c>
      <c r="X100" s="581">
        <f>SUM(U100:W100)</f>
        <v>1917</v>
      </c>
      <c r="Y100" s="582">
        <f>IF(S100&gt;0,(X100-S100)/S100,(IF(X100=0,"N/A",100%)))</f>
        <v>0.24158031088082901</v>
      </c>
      <c r="Z100" s="580">
        <v>653</v>
      </c>
      <c r="AA100" s="581">
        <v>1335</v>
      </c>
      <c r="AB100" s="512">
        <v>0</v>
      </c>
      <c r="AC100" s="581">
        <f>SUM(Z100:AB100)</f>
        <v>1988</v>
      </c>
      <c r="AD100" s="583">
        <f>IF(X100&gt;0,(AC100-X100)/X100,(IF(AC100=0,"N/A",100%)))</f>
        <v>3.7037037037037035E-2</v>
      </c>
      <c r="AE100" s="328"/>
      <c r="AF100" s="328"/>
      <c r="AG100" s="328"/>
      <c r="AH100" s="328"/>
    </row>
    <row r="101" spans="1:34" s="575" customFormat="1" ht="13.8" x14ac:dyDescent="0.25">
      <c r="A101" s="584" t="s">
        <v>961</v>
      </c>
      <c r="B101" s="585">
        <f t="shared" ref="B101:I101" si="60">+B100+B99</f>
        <v>394</v>
      </c>
      <c r="C101" s="586">
        <f t="shared" si="60"/>
        <v>890</v>
      </c>
      <c r="D101" s="586">
        <f t="shared" si="60"/>
        <v>0</v>
      </c>
      <c r="E101" s="587">
        <f t="shared" si="60"/>
        <v>1284</v>
      </c>
      <c r="F101" s="585">
        <f t="shared" si="60"/>
        <v>459</v>
      </c>
      <c r="G101" s="586">
        <f t="shared" si="60"/>
        <v>839</v>
      </c>
      <c r="H101" s="586">
        <f t="shared" si="60"/>
        <v>0</v>
      </c>
      <c r="I101" s="586">
        <f t="shared" si="60"/>
        <v>1298</v>
      </c>
      <c r="J101" s="588">
        <f>IF(E101&gt;0,(I101-E101)/E101,(IF(I101=0,"N/A",100%)))</f>
        <v>1.0903426791277258E-2</v>
      </c>
      <c r="K101" s="585">
        <f>+K100+K99</f>
        <v>475</v>
      </c>
      <c r="L101" s="586">
        <f>+L100+L99</f>
        <v>1017</v>
      </c>
      <c r="M101" s="586">
        <f>+M100+M99</f>
        <v>0</v>
      </c>
      <c r="N101" s="586">
        <f>+N100+N99</f>
        <v>1492</v>
      </c>
      <c r="O101" s="588">
        <f>IF(I101&gt;0,(N101-I101)/I101,(IF(N101=0,"N/A",100%)))</f>
        <v>0.14946070878274267</v>
      </c>
      <c r="P101" s="585">
        <f>+P100+P99</f>
        <v>399</v>
      </c>
      <c r="Q101" s="586">
        <f>+Q100+Q99</f>
        <v>1324</v>
      </c>
      <c r="R101" s="586">
        <f>+R100+R99</f>
        <v>0</v>
      </c>
      <c r="S101" s="586">
        <f>+S100+S99</f>
        <v>1723</v>
      </c>
      <c r="T101" s="588">
        <f>IF(N101&gt;0,(S101-N101)/N101,(IF(S101=0,"N/A",100%)))</f>
        <v>0.15482573726541554</v>
      </c>
      <c r="U101" s="585">
        <f>+U100+U99</f>
        <v>660</v>
      </c>
      <c r="V101" s="586">
        <f>+V100+V99</f>
        <v>1568</v>
      </c>
      <c r="W101" s="586">
        <f>+W100+W99</f>
        <v>0</v>
      </c>
      <c r="X101" s="586">
        <f>+X100+X99</f>
        <v>2228</v>
      </c>
      <c r="Y101" s="588">
        <f>IF(S101&gt;0,(X101-S101)/S101,(IF(X101=0,"N/A",100%)))</f>
        <v>0.2930934416715032</v>
      </c>
      <c r="Z101" s="585">
        <f>+Z100+Z99</f>
        <v>717</v>
      </c>
      <c r="AA101" s="586">
        <f>+AA100+AA99</f>
        <v>1536</v>
      </c>
      <c r="AB101" s="586">
        <f>+AB100+AB99</f>
        <v>0</v>
      </c>
      <c r="AC101" s="586">
        <f>+AC100+AC99</f>
        <v>2253</v>
      </c>
      <c r="AD101" s="589">
        <f>IF(X101&gt;0,(AC101-X101)/X101,(IF(AC101=0,"N/A",100%)))</f>
        <v>1.1220825852782765E-2</v>
      </c>
    </row>
    <row r="102" spans="1:34" s="596" customFormat="1" ht="16.2" thickBot="1" x14ac:dyDescent="0.35">
      <c r="A102" s="590" t="s">
        <v>429</v>
      </c>
      <c r="B102" s="591">
        <f t="shared" ref="B102:I102" si="61">+B87+B91+B97+B101</f>
        <v>7155</v>
      </c>
      <c r="C102" s="592">
        <f t="shared" si="61"/>
        <v>1772</v>
      </c>
      <c r="D102" s="592">
        <f t="shared" si="61"/>
        <v>0</v>
      </c>
      <c r="E102" s="593">
        <f t="shared" si="61"/>
        <v>8927</v>
      </c>
      <c r="F102" s="591">
        <f t="shared" si="61"/>
        <v>7310</v>
      </c>
      <c r="G102" s="592">
        <f t="shared" si="61"/>
        <v>1939</v>
      </c>
      <c r="H102" s="592">
        <f t="shared" si="61"/>
        <v>0</v>
      </c>
      <c r="I102" s="592">
        <f t="shared" si="61"/>
        <v>9249</v>
      </c>
      <c r="J102" s="594">
        <f>IF(E102&gt;0,(I102-E102)/E102,(IF(I102=0,"N/A",100%)))</f>
        <v>3.6070348381315114E-2</v>
      </c>
      <c r="K102" s="591">
        <f>+K87+K91+K97+K101</f>
        <v>8085</v>
      </c>
      <c r="L102" s="592">
        <f>+L87+L91+L97+L101</f>
        <v>1959</v>
      </c>
      <c r="M102" s="592">
        <f>+M87+M91+M97+M101</f>
        <v>0</v>
      </c>
      <c r="N102" s="592">
        <f>+N87+N91+N97+N101</f>
        <v>10044</v>
      </c>
      <c r="O102" s="594">
        <f>IF(I102&gt;0,(N102-I102)/I102,(IF(N102=0,"N/A",100%)))</f>
        <v>8.5955238404151799E-2</v>
      </c>
      <c r="P102" s="591">
        <f>+P87+P91+P97+P101</f>
        <v>9113</v>
      </c>
      <c r="Q102" s="592">
        <f>+Q87+Q91+Q97+Q101</f>
        <v>2315</v>
      </c>
      <c r="R102" s="592">
        <f>+R87+R91+R97+R101</f>
        <v>0</v>
      </c>
      <c r="S102" s="592">
        <f>+S87+S91+S97+S101</f>
        <v>11428</v>
      </c>
      <c r="T102" s="594">
        <f>IF(N102&gt;0,(S102-N102)/N102,(IF(S102=0,"N/A",100%)))</f>
        <v>0.13779370768618079</v>
      </c>
      <c r="U102" s="591">
        <f>+U87+U91+U97+U101</f>
        <v>8802</v>
      </c>
      <c r="V102" s="592">
        <f>+V87+V91+V97+V101</f>
        <v>2339</v>
      </c>
      <c r="W102" s="592">
        <f>+W87+W91+W97+W101</f>
        <v>0</v>
      </c>
      <c r="X102" s="592">
        <f>+X87+X91+X97+X101</f>
        <v>11141</v>
      </c>
      <c r="Y102" s="594">
        <f>IF(S102&gt;0,(X102-S102)/S102,(IF(X102=0,"N/A",100%)))</f>
        <v>-2.511375568778439E-2</v>
      </c>
      <c r="Z102" s="591">
        <f>+Z87+Z91+Z97+Z101</f>
        <v>8875</v>
      </c>
      <c r="AA102" s="592">
        <f>+AA87+AA91+AA97+AA101</f>
        <v>2362</v>
      </c>
      <c r="AB102" s="592">
        <f>+AB87+AB91+AB97+AB101</f>
        <v>0</v>
      </c>
      <c r="AC102" s="592">
        <f>+AC87+AC91+AC97+AC101</f>
        <v>11237</v>
      </c>
      <c r="AD102" s="595">
        <f>IF(X102&gt;0,(AC102-X102)/X102,(IF(AC102=0,"N/A",100%)))</f>
        <v>8.6168207521766446E-3</v>
      </c>
    </row>
    <row r="103" spans="1:34" ht="14.25" customHeight="1" thickTop="1" x14ac:dyDescent="0.25">
      <c r="A103" s="604"/>
      <c r="B103" s="335"/>
      <c r="C103" s="335"/>
      <c r="D103" s="335"/>
      <c r="E103" s="335"/>
      <c r="F103" s="335"/>
      <c r="G103" s="335"/>
      <c r="H103" s="335"/>
      <c r="I103" s="335"/>
      <c r="J103" s="598"/>
      <c r="K103" s="335"/>
      <c r="L103" s="335"/>
      <c r="M103" s="335"/>
      <c r="N103" s="335"/>
      <c r="O103" s="598"/>
      <c r="P103" s="335"/>
      <c r="Q103" s="335"/>
      <c r="R103" s="335"/>
      <c r="S103" s="335"/>
      <c r="T103" s="598"/>
      <c r="U103" s="335"/>
      <c r="V103" s="335"/>
      <c r="W103" s="335"/>
      <c r="X103" s="335"/>
      <c r="Y103" s="598"/>
      <c r="Z103" s="328"/>
      <c r="AA103" s="328"/>
      <c r="AB103" s="328"/>
      <c r="AC103" s="328"/>
      <c r="AD103" s="328"/>
      <c r="AE103" s="328"/>
      <c r="AF103" s="328"/>
      <c r="AG103" s="328"/>
      <c r="AH103" s="328"/>
    </row>
    <row r="104" spans="1:34" ht="14.25" customHeight="1" thickBot="1" x14ac:dyDescent="0.3">
      <c r="A104" s="604"/>
      <c r="B104" s="335"/>
      <c r="C104" s="335"/>
      <c r="D104" s="335"/>
      <c r="E104" s="335"/>
      <c r="F104" s="335"/>
      <c r="G104" s="335"/>
      <c r="H104" s="335"/>
      <c r="I104" s="335"/>
      <c r="J104" s="598"/>
      <c r="K104" s="335"/>
      <c r="L104" s="335"/>
      <c r="M104" s="335"/>
      <c r="N104" s="335"/>
      <c r="O104" s="598"/>
      <c r="P104" s="335"/>
      <c r="Q104" s="335"/>
      <c r="R104" s="335"/>
      <c r="S104" s="335"/>
      <c r="T104" s="598"/>
      <c r="U104" s="335"/>
      <c r="V104" s="335"/>
      <c r="W104" s="335"/>
      <c r="X104" s="335"/>
      <c r="Y104" s="598"/>
      <c r="Z104" s="328"/>
      <c r="AA104" s="328"/>
      <c r="AB104" s="328"/>
      <c r="AC104" s="328"/>
      <c r="AD104" s="328"/>
      <c r="AE104" s="328"/>
      <c r="AF104" s="328"/>
      <c r="AG104" s="328"/>
      <c r="AH104" s="328"/>
    </row>
    <row r="105" spans="1:34" ht="13.8" thickTop="1" x14ac:dyDescent="0.25">
      <c r="A105" s="621" t="s">
        <v>930</v>
      </c>
      <c r="B105" s="622"/>
      <c r="C105" s="623"/>
      <c r="D105" s="623"/>
      <c r="E105" s="624"/>
      <c r="F105" s="622"/>
      <c r="G105" s="623"/>
      <c r="H105" s="623"/>
      <c r="I105" s="623"/>
      <c r="J105" s="624"/>
      <c r="K105" s="622"/>
      <c r="L105" s="623"/>
      <c r="M105" s="623"/>
      <c r="N105" s="623"/>
      <c r="O105" s="625"/>
      <c r="P105" s="622"/>
      <c r="Q105" s="623"/>
      <c r="R105" s="623"/>
      <c r="S105" s="623"/>
      <c r="T105" s="1225"/>
      <c r="U105" s="622"/>
      <c r="V105" s="623"/>
      <c r="W105" s="623"/>
      <c r="X105" s="623"/>
      <c r="Y105" s="623"/>
      <c r="Z105" s="622"/>
      <c r="AA105" s="623"/>
      <c r="AB105" s="623"/>
      <c r="AC105" s="623"/>
      <c r="AD105" s="626"/>
      <c r="AE105" s="328"/>
      <c r="AF105" s="328"/>
      <c r="AG105" s="328"/>
      <c r="AH105" s="328"/>
    </row>
    <row r="106" spans="1:34" x14ac:dyDescent="0.25">
      <c r="A106" s="566" t="s">
        <v>1522</v>
      </c>
      <c r="B106" s="1227">
        <v>0</v>
      </c>
      <c r="C106" s="1227">
        <v>0</v>
      </c>
      <c r="D106" s="1228">
        <v>0</v>
      </c>
      <c r="E106" s="331">
        <f t="shared" ref="E106:E113" si="62">SUM(B106:D106)</f>
        <v>0</v>
      </c>
      <c r="F106" s="1227">
        <v>0</v>
      </c>
      <c r="G106" s="1227">
        <v>0</v>
      </c>
      <c r="H106" s="1228">
        <v>0</v>
      </c>
      <c r="I106" s="154">
        <f t="shared" ref="I106:I113" si="63">SUM(F106:H106)</f>
        <v>0</v>
      </c>
      <c r="J106" s="602" t="str">
        <f t="shared" ref="J106:J114" si="64">IF(E106&gt;0,(I106-E106)/E106,(IF(I106=0,"N/A",100%)))</f>
        <v>N/A</v>
      </c>
      <c r="K106" s="154">
        <v>0</v>
      </c>
      <c r="L106" s="154">
        <v>0</v>
      </c>
      <c r="M106" s="512">
        <v>0</v>
      </c>
      <c r="N106" s="154">
        <f t="shared" ref="N106:N113" si="65">SUM(K106:M106)</f>
        <v>0</v>
      </c>
      <c r="O106" s="155" t="str">
        <f t="shared" ref="O106:O114" si="66">IF(I106&gt;0,(N106-I106)/I106,(IF(N106=0,"N/A",100%)))</f>
        <v>N/A</v>
      </c>
      <c r="P106" s="154">
        <v>0</v>
      </c>
      <c r="Q106" s="154">
        <v>0</v>
      </c>
      <c r="R106" s="512">
        <v>0</v>
      </c>
      <c r="S106" s="154">
        <f t="shared" ref="S106:S113" si="67">SUM(P106:R106)</f>
        <v>0</v>
      </c>
      <c r="T106" s="582" t="str">
        <f t="shared" ref="T106:T114" si="68">IF(N106&gt;0,(S106-N106)/N106,(IF(S106=0,"N/A",100%)))</f>
        <v>N/A</v>
      </c>
      <c r="U106" s="154">
        <v>0</v>
      </c>
      <c r="V106" s="154">
        <v>0</v>
      </c>
      <c r="W106" s="512">
        <v>0</v>
      </c>
      <c r="X106" s="154">
        <f t="shared" ref="X106:X113" si="69">SUM(U106:W106)</f>
        <v>0</v>
      </c>
      <c r="Y106" s="602" t="str">
        <f t="shared" ref="Y106:Y114" si="70">IF(S106&gt;0,(X106-S106)/S106,(IF(X106=0,"N/A",100%)))</f>
        <v>N/A</v>
      </c>
      <c r="Z106" s="154">
        <v>6</v>
      </c>
      <c r="AA106" s="154">
        <v>0</v>
      </c>
      <c r="AB106" s="512">
        <v>0</v>
      </c>
      <c r="AC106" s="154">
        <f t="shared" ref="AC106:AC113" si="71">SUM(Z106:AB106)</f>
        <v>6</v>
      </c>
      <c r="AD106" s="567">
        <f t="shared" ref="AD106:AD114" si="72">IF(X106&gt;0,(AC106-X106)/X106,(IF(AC106=0,"N/A",100%)))</f>
        <v>1</v>
      </c>
      <c r="AE106" s="328"/>
      <c r="AF106" s="328"/>
      <c r="AG106" s="328"/>
      <c r="AH106" s="328"/>
    </row>
    <row r="107" spans="1:34" x14ac:dyDescent="0.25">
      <c r="A107" s="566" t="s">
        <v>998</v>
      </c>
      <c r="B107" s="1227">
        <v>40</v>
      </c>
      <c r="C107" s="1227">
        <v>0</v>
      </c>
      <c r="D107" s="1228">
        <v>0</v>
      </c>
      <c r="E107" s="331">
        <f t="shared" ref="E107" si="73">SUM(B107:D107)</f>
        <v>40</v>
      </c>
      <c r="F107" s="1227">
        <v>48</v>
      </c>
      <c r="G107" s="1227">
        <v>0</v>
      </c>
      <c r="H107" s="1228">
        <v>0</v>
      </c>
      <c r="I107" s="154">
        <f t="shared" ref="I107" si="74">SUM(F107:H107)</f>
        <v>48</v>
      </c>
      <c r="J107" s="602">
        <f t="shared" ref="J107" si="75">IF(E107&gt;0,(I107-E107)/E107,(IF(I107=0,"N/A",100%)))</f>
        <v>0.2</v>
      </c>
      <c r="K107" s="154">
        <v>112</v>
      </c>
      <c r="L107" s="154">
        <v>0</v>
      </c>
      <c r="M107" s="512">
        <v>0</v>
      </c>
      <c r="N107" s="154">
        <f t="shared" ref="N107" si="76">SUM(K107:M107)</f>
        <v>112</v>
      </c>
      <c r="O107" s="155">
        <f t="shared" ref="O107" si="77">IF(I107&gt;0,(N107-I107)/I107,(IF(N107=0,"N/A",100%)))</f>
        <v>1.3333333333333333</v>
      </c>
      <c r="P107" s="154">
        <v>146</v>
      </c>
      <c r="Q107" s="154">
        <v>0</v>
      </c>
      <c r="R107" s="512">
        <v>0</v>
      </c>
      <c r="S107" s="154">
        <f t="shared" ref="S107" si="78">SUM(P107:R107)</f>
        <v>146</v>
      </c>
      <c r="T107" s="582">
        <f t="shared" ref="T107" si="79">IF(N107&gt;0,(S107-N107)/N107,(IF(S107=0,"N/A",100%)))</f>
        <v>0.30357142857142855</v>
      </c>
      <c r="U107" s="154">
        <v>204</v>
      </c>
      <c r="V107" s="154">
        <v>0</v>
      </c>
      <c r="W107" s="512">
        <v>0</v>
      </c>
      <c r="X107" s="154">
        <f t="shared" ref="X107" si="80">SUM(U107:W107)</f>
        <v>204</v>
      </c>
      <c r="Y107" s="602">
        <f t="shared" ref="Y107" si="81">IF(S107&gt;0,(X107-S107)/S107,(IF(X107=0,"N/A",100%)))</f>
        <v>0.39726027397260272</v>
      </c>
      <c r="Z107" s="154">
        <v>134</v>
      </c>
      <c r="AA107" s="154">
        <v>0</v>
      </c>
      <c r="AB107" s="512">
        <v>0</v>
      </c>
      <c r="AC107" s="154">
        <f t="shared" ref="AC107" si="82">SUM(Z107:AB107)</f>
        <v>134</v>
      </c>
      <c r="AD107" s="567">
        <f t="shared" ref="AD107" si="83">IF(X107&gt;0,(AC107-X107)/X107,(IF(AC107=0,"N/A",100%)))</f>
        <v>-0.34313725490196079</v>
      </c>
      <c r="AE107" s="328"/>
      <c r="AF107" s="328"/>
      <c r="AG107" s="328"/>
      <c r="AH107" s="328"/>
    </row>
    <row r="108" spans="1:34" x14ac:dyDescent="0.25">
      <c r="A108" s="566" t="s">
        <v>701</v>
      </c>
      <c r="B108" s="1227">
        <v>51</v>
      </c>
      <c r="C108" s="1227">
        <v>0</v>
      </c>
      <c r="D108" s="1228">
        <v>0</v>
      </c>
      <c r="E108" s="331">
        <f t="shared" si="62"/>
        <v>51</v>
      </c>
      <c r="F108" s="1227">
        <v>69</v>
      </c>
      <c r="G108" s="1227">
        <v>0</v>
      </c>
      <c r="H108" s="1228">
        <v>0</v>
      </c>
      <c r="I108" s="154">
        <f t="shared" si="63"/>
        <v>69</v>
      </c>
      <c r="J108" s="602">
        <f t="shared" si="64"/>
        <v>0.35294117647058826</v>
      </c>
      <c r="K108" s="154">
        <v>66</v>
      </c>
      <c r="L108" s="154">
        <v>0</v>
      </c>
      <c r="M108" s="512">
        <v>0</v>
      </c>
      <c r="N108" s="154">
        <f t="shared" si="65"/>
        <v>66</v>
      </c>
      <c r="O108" s="155">
        <f t="shared" si="66"/>
        <v>-4.3478260869565216E-2</v>
      </c>
      <c r="P108" s="154">
        <v>48</v>
      </c>
      <c r="Q108" s="154">
        <v>0</v>
      </c>
      <c r="R108" s="512">
        <v>0</v>
      </c>
      <c r="S108" s="154">
        <f t="shared" si="67"/>
        <v>48</v>
      </c>
      <c r="T108" s="602">
        <f t="shared" si="68"/>
        <v>-0.27272727272727271</v>
      </c>
      <c r="U108" s="154">
        <v>96</v>
      </c>
      <c r="V108" s="154">
        <v>0</v>
      </c>
      <c r="W108" s="512">
        <v>0</v>
      </c>
      <c r="X108" s="154">
        <f t="shared" si="69"/>
        <v>96</v>
      </c>
      <c r="Y108" s="602">
        <f t="shared" si="70"/>
        <v>1</v>
      </c>
      <c r="Z108" s="154">
        <v>102</v>
      </c>
      <c r="AA108" s="154">
        <v>0</v>
      </c>
      <c r="AB108" s="512">
        <v>0</v>
      </c>
      <c r="AC108" s="154">
        <f t="shared" si="71"/>
        <v>102</v>
      </c>
      <c r="AD108" s="567">
        <f t="shared" si="72"/>
        <v>6.25E-2</v>
      </c>
      <c r="AE108" s="328"/>
      <c r="AF108" s="328"/>
      <c r="AG108" s="328"/>
      <c r="AH108" s="328"/>
    </row>
    <row r="109" spans="1:34" x14ac:dyDescent="0.25">
      <c r="A109" s="566" t="s">
        <v>1000</v>
      </c>
      <c r="B109" s="1227">
        <v>0</v>
      </c>
      <c r="C109" s="1227">
        <v>0</v>
      </c>
      <c r="D109" s="1228">
        <v>0</v>
      </c>
      <c r="E109" s="331">
        <f t="shared" si="62"/>
        <v>0</v>
      </c>
      <c r="F109" s="1227">
        <v>0</v>
      </c>
      <c r="G109" s="1227">
        <v>0</v>
      </c>
      <c r="H109" s="1228">
        <v>0</v>
      </c>
      <c r="I109" s="154">
        <f t="shared" si="63"/>
        <v>0</v>
      </c>
      <c r="J109" s="602" t="str">
        <f t="shared" si="64"/>
        <v>N/A</v>
      </c>
      <c r="K109" s="154">
        <v>0</v>
      </c>
      <c r="L109" s="154">
        <v>0</v>
      </c>
      <c r="M109" s="512">
        <v>0</v>
      </c>
      <c r="N109" s="154">
        <f t="shared" si="65"/>
        <v>0</v>
      </c>
      <c r="O109" s="155" t="str">
        <f t="shared" si="66"/>
        <v>N/A</v>
      </c>
      <c r="P109" s="154">
        <v>0</v>
      </c>
      <c r="Q109" s="154">
        <v>0</v>
      </c>
      <c r="R109" s="512">
        <v>0</v>
      </c>
      <c r="S109" s="154">
        <f t="shared" si="67"/>
        <v>0</v>
      </c>
      <c r="T109" s="602" t="str">
        <f t="shared" si="68"/>
        <v>N/A</v>
      </c>
      <c r="U109" s="154">
        <v>0</v>
      </c>
      <c r="V109" s="154">
        <v>0</v>
      </c>
      <c r="W109" s="512">
        <v>0</v>
      </c>
      <c r="X109" s="154">
        <f t="shared" si="69"/>
        <v>0</v>
      </c>
      <c r="Y109" s="602" t="str">
        <f t="shared" si="70"/>
        <v>N/A</v>
      </c>
      <c r="Z109" s="154">
        <v>0</v>
      </c>
      <c r="AA109" s="154">
        <v>0</v>
      </c>
      <c r="AB109" s="512">
        <v>0</v>
      </c>
      <c r="AC109" s="154">
        <f t="shared" si="71"/>
        <v>0</v>
      </c>
      <c r="AD109" s="567" t="str">
        <f t="shared" si="72"/>
        <v>N/A</v>
      </c>
      <c r="AE109" s="328"/>
      <c r="AF109" s="328"/>
      <c r="AG109" s="328"/>
      <c r="AH109" s="328"/>
    </row>
    <row r="110" spans="1:34" x14ac:dyDescent="0.25">
      <c r="A110" s="566" t="s">
        <v>1001</v>
      </c>
      <c r="B110" s="1227">
        <v>0</v>
      </c>
      <c r="C110" s="1227">
        <v>87</v>
      </c>
      <c r="D110" s="1228">
        <v>0</v>
      </c>
      <c r="E110" s="331">
        <f t="shared" si="62"/>
        <v>87</v>
      </c>
      <c r="F110" s="1227">
        <v>0</v>
      </c>
      <c r="G110" s="1227">
        <v>48</v>
      </c>
      <c r="H110" s="1228">
        <v>0</v>
      </c>
      <c r="I110" s="154">
        <f t="shared" si="63"/>
        <v>48</v>
      </c>
      <c r="J110" s="602">
        <f t="shared" si="64"/>
        <v>-0.44827586206896552</v>
      </c>
      <c r="K110" s="154">
        <v>0</v>
      </c>
      <c r="L110" s="154">
        <v>108</v>
      </c>
      <c r="M110" s="512">
        <v>0</v>
      </c>
      <c r="N110" s="154">
        <f t="shared" si="65"/>
        <v>108</v>
      </c>
      <c r="O110" s="155">
        <f t="shared" si="66"/>
        <v>1.25</v>
      </c>
      <c r="P110" s="154">
        <v>0</v>
      </c>
      <c r="Q110" s="154">
        <v>87</v>
      </c>
      <c r="R110" s="512">
        <v>0</v>
      </c>
      <c r="S110" s="154">
        <f t="shared" si="67"/>
        <v>87</v>
      </c>
      <c r="T110" s="602">
        <f t="shared" si="68"/>
        <v>-0.19444444444444445</v>
      </c>
      <c r="U110" s="154">
        <v>0</v>
      </c>
      <c r="V110" s="154">
        <v>60</v>
      </c>
      <c r="W110" s="512">
        <v>0</v>
      </c>
      <c r="X110" s="154">
        <f t="shared" si="69"/>
        <v>60</v>
      </c>
      <c r="Y110" s="602">
        <f t="shared" si="70"/>
        <v>-0.31034482758620691</v>
      </c>
      <c r="Z110" s="154">
        <v>0</v>
      </c>
      <c r="AA110" s="154">
        <v>132</v>
      </c>
      <c r="AB110" s="512">
        <v>0</v>
      </c>
      <c r="AC110" s="154">
        <f t="shared" si="71"/>
        <v>132</v>
      </c>
      <c r="AD110" s="567">
        <f t="shared" si="72"/>
        <v>1.2</v>
      </c>
      <c r="AE110" s="328"/>
      <c r="AF110" s="328"/>
      <c r="AG110" s="328"/>
      <c r="AH110" s="328"/>
    </row>
    <row r="111" spans="1:34" x14ac:dyDescent="0.25">
      <c r="A111" s="566" t="s">
        <v>1002</v>
      </c>
      <c r="B111" s="1227">
        <v>0</v>
      </c>
      <c r="C111" s="1227">
        <v>0</v>
      </c>
      <c r="D111" s="1228">
        <v>0</v>
      </c>
      <c r="E111" s="331">
        <f t="shared" si="62"/>
        <v>0</v>
      </c>
      <c r="F111" s="1227">
        <v>0</v>
      </c>
      <c r="G111" s="1227">
        <v>0</v>
      </c>
      <c r="H111" s="1228">
        <v>0</v>
      </c>
      <c r="I111" s="154">
        <f t="shared" si="63"/>
        <v>0</v>
      </c>
      <c r="J111" s="602" t="str">
        <f t="shared" si="64"/>
        <v>N/A</v>
      </c>
      <c r="K111" s="154">
        <v>0</v>
      </c>
      <c r="L111" s="154">
        <v>0</v>
      </c>
      <c r="M111" s="512">
        <v>0</v>
      </c>
      <c r="N111" s="154">
        <f t="shared" si="65"/>
        <v>0</v>
      </c>
      <c r="O111" s="155" t="str">
        <f t="shared" si="66"/>
        <v>N/A</v>
      </c>
      <c r="P111" s="154">
        <v>0</v>
      </c>
      <c r="Q111" s="154">
        <v>0</v>
      </c>
      <c r="R111" s="512">
        <v>0</v>
      </c>
      <c r="S111" s="154">
        <f t="shared" si="67"/>
        <v>0</v>
      </c>
      <c r="T111" s="602" t="str">
        <f t="shared" si="68"/>
        <v>N/A</v>
      </c>
      <c r="U111" s="154">
        <v>13</v>
      </c>
      <c r="V111" s="154">
        <v>0</v>
      </c>
      <c r="W111" s="512">
        <v>0</v>
      </c>
      <c r="X111" s="154">
        <f t="shared" si="69"/>
        <v>13</v>
      </c>
      <c r="Y111" s="602">
        <f t="shared" si="70"/>
        <v>1</v>
      </c>
      <c r="Z111" s="154">
        <v>0</v>
      </c>
      <c r="AA111" s="154">
        <v>0</v>
      </c>
      <c r="AB111" s="512">
        <v>0</v>
      </c>
      <c r="AC111" s="154">
        <f t="shared" si="71"/>
        <v>0</v>
      </c>
      <c r="AD111" s="567">
        <f t="shared" si="72"/>
        <v>-1</v>
      </c>
      <c r="AE111" s="328"/>
      <c r="AF111" s="328"/>
      <c r="AG111" s="328"/>
      <c r="AH111" s="328"/>
    </row>
    <row r="112" spans="1:34" x14ac:dyDescent="0.25">
      <c r="A112" s="566" t="s">
        <v>1143</v>
      </c>
      <c r="B112" s="1227">
        <v>0</v>
      </c>
      <c r="C112" s="1227">
        <v>0</v>
      </c>
      <c r="D112" s="1228">
        <v>0</v>
      </c>
      <c r="E112" s="331">
        <f t="shared" si="62"/>
        <v>0</v>
      </c>
      <c r="F112" s="1227">
        <v>0</v>
      </c>
      <c r="G112" s="1227">
        <v>0</v>
      </c>
      <c r="H112" s="1228">
        <v>0</v>
      </c>
      <c r="I112" s="154">
        <f t="shared" si="63"/>
        <v>0</v>
      </c>
      <c r="J112" s="602" t="str">
        <f t="shared" si="64"/>
        <v>N/A</v>
      </c>
      <c r="K112" s="154">
        <v>0</v>
      </c>
      <c r="L112" s="154">
        <v>0</v>
      </c>
      <c r="M112" s="512">
        <v>0</v>
      </c>
      <c r="N112" s="154">
        <f t="shared" si="65"/>
        <v>0</v>
      </c>
      <c r="O112" s="155" t="str">
        <f t="shared" si="66"/>
        <v>N/A</v>
      </c>
      <c r="P112" s="154">
        <v>0</v>
      </c>
      <c r="Q112" s="154">
        <v>0</v>
      </c>
      <c r="R112" s="512">
        <v>0</v>
      </c>
      <c r="S112" s="154">
        <f t="shared" si="67"/>
        <v>0</v>
      </c>
      <c r="T112" s="602" t="str">
        <f t="shared" si="68"/>
        <v>N/A</v>
      </c>
      <c r="U112" s="154">
        <v>0</v>
      </c>
      <c r="V112" s="154">
        <v>0</v>
      </c>
      <c r="W112" s="512">
        <v>0</v>
      </c>
      <c r="X112" s="154">
        <f t="shared" si="69"/>
        <v>0</v>
      </c>
      <c r="Y112" s="602" t="str">
        <f t="shared" si="70"/>
        <v>N/A</v>
      </c>
      <c r="Z112" s="154">
        <v>58</v>
      </c>
      <c r="AA112" s="154">
        <v>0</v>
      </c>
      <c r="AB112" s="512">
        <v>0</v>
      </c>
      <c r="AC112" s="154">
        <f t="shared" si="71"/>
        <v>58</v>
      </c>
      <c r="AD112" s="567">
        <f t="shared" si="72"/>
        <v>1</v>
      </c>
      <c r="AE112" s="328"/>
      <c r="AF112" s="328"/>
      <c r="AG112" s="328"/>
      <c r="AH112" s="328"/>
    </row>
    <row r="113" spans="1:35" x14ac:dyDescent="0.25">
      <c r="A113" s="579" t="s">
        <v>412</v>
      </c>
      <c r="B113" s="1229">
        <v>62</v>
      </c>
      <c r="C113" s="1229">
        <v>51</v>
      </c>
      <c r="D113" s="1228">
        <v>0</v>
      </c>
      <c r="E113" s="375">
        <f t="shared" si="62"/>
        <v>113</v>
      </c>
      <c r="F113" s="1229">
        <v>42</v>
      </c>
      <c r="G113" s="1229">
        <v>48</v>
      </c>
      <c r="H113" s="1228">
        <v>0</v>
      </c>
      <c r="I113" s="580">
        <f t="shared" si="63"/>
        <v>90</v>
      </c>
      <c r="J113" s="582">
        <f t="shared" si="64"/>
        <v>-0.20353982300884957</v>
      </c>
      <c r="K113" s="580">
        <v>57</v>
      </c>
      <c r="L113" s="580">
        <v>41</v>
      </c>
      <c r="M113" s="512">
        <v>0</v>
      </c>
      <c r="N113" s="580">
        <f t="shared" si="65"/>
        <v>98</v>
      </c>
      <c r="O113" s="616">
        <f t="shared" si="66"/>
        <v>8.8888888888888892E-2</v>
      </c>
      <c r="P113" s="580">
        <v>55</v>
      </c>
      <c r="Q113" s="580">
        <v>46</v>
      </c>
      <c r="R113" s="512">
        <v>0</v>
      </c>
      <c r="S113" s="580">
        <f t="shared" si="67"/>
        <v>101</v>
      </c>
      <c r="T113" s="582">
        <f t="shared" si="68"/>
        <v>3.0612244897959183E-2</v>
      </c>
      <c r="U113" s="580">
        <v>45</v>
      </c>
      <c r="V113" s="580">
        <v>38</v>
      </c>
      <c r="W113" s="512">
        <v>0</v>
      </c>
      <c r="X113" s="580">
        <f t="shared" si="69"/>
        <v>83</v>
      </c>
      <c r="Y113" s="582">
        <f t="shared" si="70"/>
        <v>-0.17821782178217821</v>
      </c>
      <c r="Z113" s="580">
        <v>49</v>
      </c>
      <c r="AA113" s="580">
        <v>37</v>
      </c>
      <c r="AB113" s="512">
        <v>0</v>
      </c>
      <c r="AC113" s="580">
        <f t="shared" si="71"/>
        <v>86</v>
      </c>
      <c r="AD113" s="627">
        <f t="shared" si="72"/>
        <v>3.614457831325301E-2</v>
      </c>
      <c r="AE113" s="328"/>
      <c r="AF113" s="328"/>
      <c r="AG113" s="328"/>
      <c r="AH113" s="328"/>
    </row>
    <row r="114" spans="1:35" s="575" customFormat="1" ht="14.4" thickBot="1" x14ac:dyDescent="0.3">
      <c r="A114" s="628" t="s">
        <v>961</v>
      </c>
      <c r="B114" s="629">
        <f t="shared" ref="B114:I114" si="84">SUM(B106:B113)</f>
        <v>153</v>
      </c>
      <c r="C114" s="629">
        <f t="shared" si="84"/>
        <v>138</v>
      </c>
      <c r="D114" s="629">
        <f t="shared" si="84"/>
        <v>0</v>
      </c>
      <c r="E114" s="630">
        <f t="shared" si="84"/>
        <v>291</v>
      </c>
      <c r="F114" s="629">
        <f t="shared" si="84"/>
        <v>159</v>
      </c>
      <c r="G114" s="629">
        <f t="shared" si="84"/>
        <v>96</v>
      </c>
      <c r="H114" s="629">
        <f t="shared" si="84"/>
        <v>0</v>
      </c>
      <c r="I114" s="629">
        <f t="shared" si="84"/>
        <v>255</v>
      </c>
      <c r="J114" s="732">
        <f t="shared" si="64"/>
        <v>-0.12371134020618557</v>
      </c>
      <c r="K114" s="629">
        <f>SUM(K106:K113)</f>
        <v>235</v>
      </c>
      <c r="L114" s="629">
        <f>SUM(L106:L113)</f>
        <v>149</v>
      </c>
      <c r="M114" s="629">
        <f>SUM(M106:M113)</f>
        <v>0</v>
      </c>
      <c r="N114" s="629">
        <f>SUM(N106:N113)</f>
        <v>384</v>
      </c>
      <c r="O114" s="631">
        <f t="shared" si="66"/>
        <v>0.50588235294117645</v>
      </c>
      <c r="P114" s="629">
        <f>SUM(P106:P113)</f>
        <v>249</v>
      </c>
      <c r="Q114" s="629">
        <f>SUM(Q106:Q113)</f>
        <v>133</v>
      </c>
      <c r="R114" s="629">
        <f>SUM(R106:R113)</f>
        <v>0</v>
      </c>
      <c r="S114" s="629">
        <f>SUM(S106:S113)</f>
        <v>382</v>
      </c>
      <c r="T114" s="732">
        <f t="shared" si="68"/>
        <v>-5.208333333333333E-3</v>
      </c>
      <c r="U114" s="629">
        <f>SUM(U106:U113)</f>
        <v>358</v>
      </c>
      <c r="V114" s="629">
        <f>SUM(V106:V113)</f>
        <v>98</v>
      </c>
      <c r="W114" s="629">
        <f>SUM(W106:W113)</f>
        <v>0</v>
      </c>
      <c r="X114" s="629">
        <f>SUM(X106:X113)</f>
        <v>456</v>
      </c>
      <c r="Y114" s="732">
        <f t="shared" si="70"/>
        <v>0.193717277486911</v>
      </c>
      <c r="Z114" s="629">
        <f>SUM(Z106:Z113)</f>
        <v>349</v>
      </c>
      <c r="AA114" s="629">
        <f>SUM(AA106:AA113)</f>
        <v>169</v>
      </c>
      <c r="AB114" s="629">
        <f>SUM(AB106:AB113)</f>
        <v>0</v>
      </c>
      <c r="AC114" s="629">
        <f>SUM(AC106:AC113)</f>
        <v>518</v>
      </c>
      <c r="AD114" s="632">
        <f t="shared" si="72"/>
        <v>0.13596491228070176</v>
      </c>
    </row>
    <row r="115" spans="1:35" s="575" customFormat="1" ht="14.25" customHeight="1" thickTop="1" x14ac:dyDescent="0.25">
      <c r="A115" s="633"/>
      <c r="B115" s="634"/>
      <c r="C115" s="634"/>
      <c r="D115" s="634"/>
      <c r="E115" s="634"/>
      <c r="F115" s="634"/>
      <c r="G115" s="634"/>
      <c r="H115" s="634"/>
      <c r="I115" s="634"/>
      <c r="J115" s="635"/>
      <c r="Z115" s="328"/>
      <c r="AA115" s="328"/>
      <c r="AB115" s="328"/>
      <c r="AC115" s="328"/>
    </row>
    <row r="116" spans="1:35" ht="14.25" customHeight="1" thickBot="1" x14ac:dyDescent="0.3">
      <c r="A116" s="604"/>
      <c r="B116" s="335"/>
      <c r="C116" s="335"/>
      <c r="D116" s="335"/>
      <c r="E116" s="335"/>
      <c r="F116" s="335"/>
      <c r="G116" s="335"/>
      <c r="H116" s="335"/>
      <c r="I116" s="335"/>
      <c r="J116" s="598"/>
      <c r="K116" s="328"/>
      <c r="L116" s="328"/>
      <c r="M116" s="328"/>
      <c r="N116" s="328"/>
      <c r="O116" s="328"/>
      <c r="P116" s="328"/>
      <c r="Q116" s="328"/>
      <c r="R116" s="328"/>
      <c r="S116" s="328"/>
      <c r="T116" s="328"/>
      <c r="U116" s="328"/>
      <c r="V116" s="328"/>
      <c r="W116" s="328"/>
      <c r="X116" s="328"/>
      <c r="Y116" s="328"/>
      <c r="Z116" s="328"/>
      <c r="AA116" s="328"/>
      <c r="AB116" s="328"/>
      <c r="AC116" s="328"/>
      <c r="AD116" s="328"/>
      <c r="AE116" s="328"/>
      <c r="AF116" s="328"/>
      <c r="AG116" s="328"/>
      <c r="AH116" s="328"/>
    </row>
    <row r="117" spans="1:35" s="639" customFormat="1" ht="18" thickTop="1" thickBot="1" x14ac:dyDescent="0.35">
      <c r="A117" s="636" t="s">
        <v>949</v>
      </c>
      <c r="B117" s="637">
        <f t="shared" ref="B117:I117" si="85">+B114+B102+B80+B42+B22</f>
        <v>22711.5</v>
      </c>
      <c r="C117" s="637">
        <f t="shared" si="85"/>
        <v>9603.5</v>
      </c>
      <c r="D117" s="637">
        <f t="shared" si="85"/>
        <v>261</v>
      </c>
      <c r="E117" s="637">
        <f t="shared" si="85"/>
        <v>32576</v>
      </c>
      <c r="F117" s="637">
        <f t="shared" si="85"/>
        <v>24871</v>
      </c>
      <c r="G117" s="637">
        <f t="shared" si="85"/>
        <v>10280</v>
      </c>
      <c r="H117" s="637">
        <f t="shared" si="85"/>
        <v>408</v>
      </c>
      <c r="I117" s="637">
        <f t="shared" si="85"/>
        <v>35559</v>
      </c>
      <c r="J117" s="638">
        <f>IF(E117&gt;0,(I117-E117)/E117,(IF(I117=0,"N/A",100%)))</f>
        <v>9.1570481335952844E-2</v>
      </c>
      <c r="K117" s="637">
        <f>+K114+K102+K80+K42+K22</f>
        <v>28839.5</v>
      </c>
      <c r="L117" s="637">
        <f>+L114+L102+L80+L42+L22</f>
        <v>10586.5</v>
      </c>
      <c r="M117" s="637">
        <f>+M114+M102+M80+M42+M22</f>
        <v>210</v>
      </c>
      <c r="N117" s="637">
        <f>+N114+N102+N80+N42+N22</f>
        <v>39636</v>
      </c>
      <c r="O117" s="855">
        <f>IF(I117&gt;0,(N117-I117)/I117,(IF(N117=0,"N/A",100%)))</f>
        <v>0.11465451784358391</v>
      </c>
      <c r="P117" s="637">
        <f>+P114+P102+P80+P42+P22</f>
        <v>31892</v>
      </c>
      <c r="Q117" s="637">
        <f>+Q114+Q102+Q80+Q42+Q22</f>
        <v>10307</v>
      </c>
      <c r="R117" s="637">
        <f>+R114+R102+R80+R42+R22</f>
        <v>402</v>
      </c>
      <c r="S117" s="637">
        <f>+S114+S102+S80+S42+S22</f>
        <v>42601</v>
      </c>
      <c r="T117" s="855">
        <f>IF(N117&gt;0,(S117-N117)/N117,(IF(S117=0,"N/A",100%)))</f>
        <v>7.4805732162680397E-2</v>
      </c>
      <c r="U117" s="637">
        <f>+U114+U102+U80+U42+U22</f>
        <v>31654</v>
      </c>
      <c r="V117" s="637">
        <f>+V114+V102+V80+V42+V22</f>
        <v>10780</v>
      </c>
      <c r="W117" s="637">
        <f>+W114+W102+W80+W42+W22</f>
        <v>156</v>
      </c>
      <c r="X117" s="637">
        <f>+X114+X102+X80+X42+X22</f>
        <v>42590</v>
      </c>
      <c r="Y117" s="1226">
        <f>IF(S117&gt;0,(X117-S117)/S117,(IF(X117=0,"N/A",100%)))</f>
        <v>-2.5820990117602873E-4</v>
      </c>
      <c r="Z117" s="637">
        <f>+Z114+Z102+Z80+Z42+Z22</f>
        <v>30380</v>
      </c>
      <c r="AA117" s="637">
        <f>+AA114+AA102+AA80+AA42+AA22</f>
        <v>11428</v>
      </c>
      <c r="AB117" s="637">
        <f>+AB114+AB102+AB80+AB42+AB22</f>
        <v>366</v>
      </c>
      <c r="AC117" s="637">
        <f>+AC114+AC102+AC80+AC42+AC22</f>
        <v>42174</v>
      </c>
      <c r="AD117" s="638">
        <f>IF(X117&gt;0,(AC117-X117)/X117,(IF(AC117=0,"N/A",100%)))</f>
        <v>-9.7675510683258981E-3</v>
      </c>
    </row>
    <row r="118" spans="1:35" ht="13.8" thickTop="1" x14ac:dyDescent="0.25">
      <c r="A118" s="1725" t="s">
        <v>1012</v>
      </c>
      <c r="B118" s="1725"/>
      <c r="C118" s="1725"/>
      <c r="D118" s="1725"/>
      <c r="E118" s="1725"/>
      <c r="F118" s="1090"/>
      <c r="G118" s="1090"/>
      <c r="H118" s="1090"/>
      <c r="I118" s="1090"/>
      <c r="J118" s="710"/>
      <c r="K118" s="778"/>
      <c r="L118" s="328"/>
      <c r="M118" s="328"/>
      <c r="N118" s="328"/>
      <c r="O118" s="328"/>
      <c r="P118" s="778"/>
      <c r="Q118" s="328"/>
      <c r="R118" s="328"/>
      <c r="S118" s="328"/>
      <c r="T118" s="328"/>
      <c r="U118" s="778"/>
      <c r="V118" s="328"/>
      <c r="W118" s="328"/>
      <c r="X118" s="328"/>
      <c r="Y118" s="328"/>
      <c r="Z118" s="328"/>
      <c r="AA118" s="328"/>
      <c r="AB118" s="328"/>
      <c r="AC118" s="328"/>
      <c r="AD118" s="328"/>
      <c r="AE118" s="328"/>
      <c r="AF118" s="328"/>
      <c r="AG118" s="328"/>
      <c r="AH118" s="328"/>
      <c r="AI118" s="328"/>
    </row>
    <row r="119" spans="1:35" x14ac:dyDescent="0.25">
      <c r="A119" s="1722"/>
      <c r="B119" s="1722"/>
      <c r="C119" s="1722"/>
      <c r="D119" s="1722"/>
      <c r="E119" s="1722"/>
      <c r="F119" s="728"/>
      <c r="G119" s="728"/>
      <c r="H119" s="728"/>
      <c r="I119" s="728"/>
      <c r="J119" s="728"/>
      <c r="K119" s="778"/>
      <c r="L119" s="328"/>
      <c r="N119" s="328"/>
      <c r="O119" s="328"/>
      <c r="P119" s="778"/>
      <c r="Q119" s="328"/>
      <c r="S119" s="328"/>
      <c r="T119" s="328"/>
      <c r="U119" s="778"/>
      <c r="V119" s="328"/>
      <c r="X119" s="328"/>
      <c r="Y119" s="328"/>
      <c r="Z119" s="328"/>
      <c r="AA119" s="328"/>
      <c r="AB119" s="328"/>
      <c r="AC119" s="328"/>
      <c r="AD119" s="328"/>
      <c r="AE119" s="328"/>
      <c r="AF119" s="328"/>
      <c r="AG119" s="328"/>
      <c r="AH119" s="328"/>
      <c r="AI119" s="328"/>
    </row>
    <row r="120" spans="1:35" x14ac:dyDescent="0.25">
      <c r="A120" s="146"/>
      <c r="B120" s="335"/>
      <c r="C120" s="335"/>
      <c r="D120" s="146"/>
      <c r="E120" s="335"/>
      <c r="F120" s="335"/>
      <c r="G120" s="335"/>
      <c r="H120" s="146"/>
      <c r="I120" s="335"/>
      <c r="J120" s="146"/>
      <c r="K120" s="778"/>
      <c r="M120" s="328"/>
      <c r="N120" s="328"/>
      <c r="O120" s="328"/>
      <c r="P120" s="778"/>
      <c r="R120" s="328"/>
      <c r="S120" s="328"/>
      <c r="T120" s="328"/>
      <c r="U120" s="778"/>
      <c r="W120" s="328"/>
      <c r="X120" s="328"/>
      <c r="Y120" s="328"/>
      <c r="Z120" s="328"/>
      <c r="AA120" s="328"/>
      <c r="AB120" s="328"/>
      <c r="AC120" s="328"/>
      <c r="AD120" s="146"/>
      <c r="AE120" s="146"/>
      <c r="AF120" s="146"/>
      <c r="AG120" s="146"/>
      <c r="AH120" s="146"/>
      <c r="AI120" s="146"/>
    </row>
    <row r="121" spans="1:35" x14ac:dyDescent="0.25">
      <c r="A121" s="146"/>
      <c r="B121" s="335"/>
      <c r="C121" s="335"/>
      <c r="D121" s="335"/>
      <c r="E121" s="335"/>
      <c r="F121" s="335"/>
      <c r="G121" s="335"/>
      <c r="H121" s="146"/>
      <c r="I121" s="335"/>
      <c r="J121" s="146"/>
      <c r="K121" s="778"/>
      <c r="L121" s="778"/>
      <c r="M121" s="778"/>
      <c r="N121" s="778"/>
      <c r="O121" s="328"/>
      <c r="P121" s="778"/>
      <c r="Q121" s="778"/>
      <c r="R121" s="778"/>
      <c r="S121" s="778"/>
      <c r="T121" s="328"/>
      <c r="U121" s="778"/>
      <c r="V121" s="778"/>
      <c r="W121" s="778"/>
      <c r="X121" s="778"/>
      <c r="Y121" s="328"/>
      <c r="Z121" s="328"/>
      <c r="AA121" s="328"/>
      <c r="AB121" s="328"/>
      <c r="AC121" s="328"/>
      <c r="AD121" s="146"/>
      <c r="AE121" s="146"/>
      <c r="AF121" s="146"/>
      <c r="AG121" s="146"/>
      <c r="AH121" s="146"/>
      <c r="AI121" s="146"/>
    </row>
    <row r="122" spans="1:35" x14ac:dyDescent="0.25">
      <c r="A122" s="146"/>
      <c r="B122" s="146"/>
      <c r="C122" s="146"/>
      <c r="D122" s="146"/>
      <c r="E122" s="146"/>
      <c r="F122" s="146"/>
      <c r="G122" s="146"/>
      <c r="H122" s="146"/>
      <c r="I122" s="146"/>
      <c r="J122" s="146"/>
      <c r="K122" s="328"/>
      <c r="L122" s="328"/>
      <c r="M122" s="328"/>
      <c r="N122" s="328"/>
      <c r="O122" s="328"/>
      <c r="P122" s="328"/>
      <c r="Q122" s="328"/>
      <c r="R122" s="328"/>
      <c r="S122" s="328"/>
      <c r="T122" s="328"/>
      <c r="U122" s="328"/>
      <c r="V122" s="328"/>
      <c r="W122" s="328"/>
      <c r="X122" s="328"/>
      <c r="Y122" s="328"/>
      <c r="Z122" s="328"/>
      <c r="AA122" s="328"/>
      <c r="AB122" s="328"/>
      <c r="AC122" s="328"/>
      <c r="AD122" s="146"/>
      <c r="AE122" s="146"/>
      <c r="AF122" s="146"/>
      <c r="AG122" s="146"/>
      <c r="AH122" s="146"/>
      <c r="AI122" s="146"/>
    </row>
    <row r="123" spans="1:35" x14ac:dyDescent="0.25">
      <c r="A123" s="146"/>
      <c r="B123" s="146"/>
      <c r="C123" s="146"/>
      <c r="D123" s="146"/>
      <c r="E123" s="146"/>
      <c r="F123" s="146"/>
      <c r="G123" s="146"/>
      <c r="H123" s="146"/>
      <c r="I123" s="146"/>
      <c r="J123" s="146"/>
      <c r="K123" s="328"/>
      <c r="L123" s="328"/>
      <c r="M123" s="328"/>
      <c r="N123" s="328"/>
      <c r="O123" s="328"/>
      <c r="P123" s="328"/>
      <c r="Q123" s="328"/>
      <c r="R123" s="328"/>
      <c r="S123" s="328"/>
      <c r="T123" s="328"/>
      <c r="U123" s="328"/>
      <c r="V123" s="328"/>
      <c r="W123" s="328"/>
      <c r="X123" s="328"/>
      <c r="Y123" s="328"/>
      <c r="Z123" s="328"/>
      <c r="AA123" s="328"/>
      <c r="AB123" s="328"/>
      <c r="AC123" s="328"/>
      <c r="AD123" s="146"/>
      <c r="AE123" s="146"/>
      <c r="AF123" s="146"/>
      <c r="AG123" s="146"/>
      <c r="AH123" s="146"/>
      <c r="AI123" s="146"/>
    </row>
    <row r="124" spans="1:35" x14ac:dyDescent="0.25">
      <c r="A124" s="146"/>
      <c r="B124" s="146"/>
      <c r="C124" s="146"/>
      <c r="D124" s="146"/>
      <c r="E124" s="146"/>
      <c r="F124" s="146"/>
      <c r="G124" s="146"/>
      <c r="H124" s="146"/>
      <c r="I124" s="146"/>
      <c r="J124" s="146"/>
      <c r="K124" s="328"/>
      <c r="L124" s="328"/>
      <c r="M124" s="328"/>
      <c r="N124" s="328"/>
      <c r="O124" s="328"/>
      <c r="P124" s="328"/>
      <c r="Q124" s="328"/>
      <c r="R124" s="328"/>
      <c r="S124" s="328"/>
      <c r="T124" s="328"/>
      <c r="U124" s="328"/>
      <c r="V124" s="328"/>
      <c r="W124" s="328"/>
      <c r="X124" s="328"/>
      <c r="Y124" s="328"/>
      <c r="Z124" s="328"/>
      <c r="AA124" s="328"/>
      <c r="AB124" s="328"/>
      <c r="AC124" s="328"/>
      <c r="AD124" s="146"/>
      <c r="AE124" s="146"/>
      <c r="AF124" s="146"/>
      <c r="AG124" s="146"/>
      <c r="AH124" s="146"/>
      <c r="AI124" s="146"/>
    </row>
    <row r="125" spans="1:35" x14ac:dyDescent="0.25">
      <c r="A125" s="146"/>
      <c r="B125" s="146"/>
      <c r="C125" s="146"/>
      <c r="D125" s="146"/>
      <c r="E125" s="146"/>
      <c r="F125" s="146"/>
      <c r="G125" s="146"/>
      <c r="H125" s="146"/>
      <c r="I125" s="146"/>
      <c r="J125" s="146"/>
      <c r="K125" s="328"/>
      <c r="L125" s="328"/>
      <c r="M125" s="328"/>
      <c r="N125" s="328"/>
      <c r="O125" s="328"/>
      <c r="P125" s="328"/>
      <c r="Q125" s="328"/>
      <c r="R125" s="328"/>
      <c r="S125" s="328"/>
      <c r="T125" s="328"/>
      <c r="U125" s="328"/>
      <c r="V125" s="328"/>
      <c r="W125" s="328"/>
      <c r="X125" s="328"/>
      <c r="Y125" s="328"/>
      <c r="Z125" s="328"/>
      <c r="AA125" s="328"/>
      <c r="AB125" s="328"/>
      <c r="AC125" s="328"/>
      <c r="AD125" s="146"/>
      <c r="AE125" s="146"/>
      <c r="AF125" s="146"/>
      <c r="AG125" s="146"/>
      <c r="AH125" s="146"/>
      <c r="AI125" s="146"/>
    </row>
    <row r="126" spans="1:35" x14ac:dyDescent="0.25">
      <c r="A126" s="146"/>
      <c r="B126" s="146"/>
      <c r="C126" s="146"/>
      <c r="D126" s="146"/>
      <c r="E126" s="335"/>
      <c r="F126" s="146"/>
      <c r="G126" s="146"/>
      <c r="H126" s="146"/>
      <c r="I126" s="335"/>
      <c r="J126" s="146"/>
      <c r="K126" s="146"/>
      <c r="L126" s="146"/>
      <c r="M126" s="146"/>
      <c r="N126" s="328"/>
      <c r="O126" s="328"/>
      <c r="P126" s="146"/>
      <c r="Q126" s="146"/>
      <c r="R126" s="146"/>
      <c r="S126" s="328"/>
      <c r="T126" s="328"/>
      <c r="U126" s="146"/>
      <c r="V126" s="146"/>
      <c r="W126" s="146"/>
      <c r="X126" s="328"/>
      <c r="Y126" s="328"/>
      <c r="Z126" s="146"/>
      <c r="AA126" s="328"/>
      <c r="AB126" s="328"/>
      <c r="AC126" s="328"/>
      <c r="AD126" s="146"/>
      <c r="AE126" s="146"/>
      <c r="AF126" s="146"/>
      <c r="AG126" s="146"/>
      <c r="AH126" s="146"/>
      <c r="AI126" s="146"/>
    </row>
    <row r="127" spans="1:35" x14ac:dyDescent="0.25">
      <c r="A127" s="146"/>
      <c r="B127" s="146"/>
      <c r="C127" s="146"/>
      <c r="D127" s="146"/>
      <c r="E127" s="335"/>
      <c r="F127" s="146"/>
      <c r="G127" s="146"/>
      <c r="H127" s="146"/>
      <c r="I127" s="335"/>
      <c r="J127" s="146"/>
      <c r="K127" s="146"/>
      <c r="L127" s="146"/>
      <c r="M127" s="146"/>
      <c r="N127" s="328"/>
      <c r="O127" s="328"/>
      <c r="P127" s="146"/>
      <c r="Q127" s="146"/>
      <c r="R127" s="146"/>
      <c r="S127" s="328"/>
      <c r="T127" s="328"/>
      <c r="U127" s="146"/>
      <c r="V127" s="146"/>
      <c r="W127" s="146"/>
      <c r="X127" s="328"/>
      <c r="Y127" s="328"/>
      <c r="Z127" s="146"/>
      <c r="AA127" s="328"/>
      <c r="AB127" s="328"/>
      <c r="AC127" s="328"/>
      <c r="AD127" s="146"/>
      <c r="AE127" s="146"/>
      <c r="AF127" s="146"/>
      <c r="AG127" s="146"/>
      <c r="AH127" s="146"/>
      <c r="AI127" s="146"/>
    </row>
    <row r="128" spans="1:35" x14ac:dyDescent="0.25">
      <c r="A128" s="146"/>
      <c r="B128" s="146"/>
      <c r="C128" s="146"/>
      <c r="D128" s="146"/>
      <c r="E128" s="146"/>
      <c r="F128" s="146"/>
      <c r="G128" s="146"/>
      <c r="H128" s="146"/>
      <c r="I128" s="146"/>
      <c r="J128" s="146"/>
      <c r="K128" s="146"/>
      <c r="L128" s="146"/>
      <c r="M128" s="146"/>
      <c r="N128" s="328"/>
      <c r="O128" s="328"/>
      <c r="P128" s="146"/>
      <c r="Q128" s="146"/>
      <c r="R128" s="146"/>
      <c r="S128" s="328"/>
      <c r="T128" s="328"/>
      <c r="U128" s="146"/>
      <c r="V128" s="146"/>
      <c r="W128" s="146"/>
      <c r="X128" s="328"/>
      <c r="Y128" s="328"/>
      <c r="Z128" s="146"/>
      <c r="AA128" s="328"/>
      <c r="AB128" s="328"/>
      <c r="AC128" s="328"/>
      <c r="AD128" s="146"/>
      <c r="AE128" s="146"/>
      <c r="AF128" s="146"/>
      <c r="AG128" s="146"/>
      <c r="AH128" s="146"/>
      <c r="AI128" s="146"/>
    </row>
    <row r="129" spans="1:35" x14ac:dyDescent="0.25">
      <c r="A129" s="146"/>
      <c r="B129" s="146"/>
      <c r="C129" s="146"/>
      <c r="D129" s="146"/>
      <c r="E129" s="146"/>
      <c r="F129" s="146"/>
      <c r="G129" s="146"/>
      <c r="H129" s="146"/>
      <c r="I129" s="146"/>
      <c r="J129" s="146"/>
      <c r="K129" s="146"/>
      <c r="L129" s="146"/>
      <c r="M129" s="146"/>
      <c r="N129" s="328"/>
      <c r="O129" s="328"/>
      <c r="P129" s="146"/>
      <c r="Q129" s="146"/>
      <c r="R129" s="146"/>
      <c r="S129" s="328"/>
      <c r="T129" s="328"/>
      <c r="U129" s="146"/>
      <c r="V129" s="146"/>
      <c r="W129" s="146"/>
      <c r="X129" s="328"/>
      <c r="Y129" s="328"/>
      <c r="Z129" s="146"/>
      <c r="AA129" s="328"/>
      <c r="AB129" s="328"/>
      <c r="AC129" s="328"/>
      <c r="AD129" s="146"/>
      <c r="AE129" s="146"/>
      <c r="AF129" s="146"/>
      <c r="AG129" s="146"/>
      <c r="AH129" s="146"/>
      <c r="AI129" s="146"/>
    </row>
    <row r="130" spans="1:35" x14ac:dyDescent="0.25">
      <c r="A130" s="146"/>
      <c r="B130" s="146"/>
      <c r="C130" s="146"/>
      <c r="D130" s="146"/>
      <c r="E130" s="146"/>
      <c r="F130" s="146"/>
      <c r="G130" s="146"/>
      <c r="H130" s="146"/>
      <c r="I130" s="146"/>
      <c r="J130" s="146"/>
      <c r="K130" s="146"/>
      <c r="L130" s="146"/>
      <c r="M130" s="146"/>
      <c r="N130" s="328"/>
      <c r="O130" s="328"/>
      <c r="P130" s="146"/>
      <c r="Q130" s="146"/>
      <c r="R130" s="146"/>
      <c r="S130" s="328"/>
      <c r="T130" s="328"/>
      <c r="U130" s="146"/>
      <c r="V130" s="146"/>
      <c r="W130" s="146"/>
      <c r="X130" s="328"/>
      <c r="Y130" s="328"/>
      <c r="Z130" s="146"/>
      <c r="AA130" s="328"/>
      <c r="AB130" s="328"/>
      <c r="AC130" s="328"/>
      <c r="AD130" s="146"/>
      <c r="AE130" s="146"/>
      <c r="AF130" s="146"/>
      <c r="AG130" s="146"/>
      <c r="AH130" s="146"/>
      <c r="AI130" s="146"/>
    </row>
    <row r="131" spans="1:35" x14ac:dyDescent="0.25">
      <c r="A131" s="146"/>
      <c r="B131" s="146"/>
      <c r="C131" s="146"/>
      <c r="D131" s="146"/>
      <c r="E131" s="146"/>
      <c r="F131" s="146"/>
      <c r="G131" s="146"/>
      <c r="H131" s="146"/>
      <c r="I131" s="146"/>
      <c r="J131" s="146"/>
      <c r="K131" s="146"/>
      <c r="L131" s="146"/>
      <c r="M131" s="146"/>
      <c r="N131" s="328"/>
      <c r="O131" s="328"/>
      <c r="P131" s="146"/>
      <c r="Q131" s="146"/>
      <c r="R131" s="146"/>
      <c r="S131" s="328"/>
      <c r="T131" s="328"/>
      <c r="U131" s="146"/>
      <c r="V131" s="146"/>
      <c r="W131" s="146"/>
      <c r="X131" s="328"/>
      <c r="Y131" s="328"/>
      <c r="Z131" s="146"/>
      <c r="AA131" s="328"/>
      <c r="AB131" s="328"/>
      <c r="AC131" s="328"/>
      <c r="AD131" s="146"/>
      <c r="AE131" s="146"/>
      <c r="AF131" s="146"/>
      <c r="AG131" s="146"/>
      <c r="AH131" s="146"/>
      <c r="AI131" s="146"/>
    </row>
    <row r="132" spans="1:35" x14ac:dyDescent="0.25">
      <c r="A132" s="146"/>
      <c r="B132" s="146"/>
      <c r="C132" s="146"/>
      <c r="D132" s="146"/>
      <c r="E132" s="146"/>
      <c r="F132" s="146"/>
      <c r="G132" s="146"/>
      <c r="H132" s="146"/>
      <c r="I132" s="146"/>
      <c r="J132" s="146"/>
      <c r="K132" s="146"/>
      <c r="L132" s="146"/>
      <c r="M132" s="146"/>
      <c r="N132" s="328"/>
      <c r="O132" s="328"/>
      <c r="P132" s="146"/>
      <c r="Q132" s="146"/>
      <c r="R132" s="146"/>
      <c r="S132" s="328"/>
      <c r="T132" s="328"/>
      <c r="U132" s="146"/>
      <c r="V132" s="146"/>
      <c r="W132" s="146"/>
      <c r="X132" s="328"/>
      <c r="Y132" s="328"/>
      <c r="Z132" s="146"/>
      <c r="AA132" s="328"/>
      <c r="AB132" s="328"/>
      <c r="AC132" s="328"/>
      <c r="AD132" s="146"/>
      <c r="AE132" s="146"/>
      <c r="AF132" s="146"/>
      <c r="AG132" s="146"/>
      <c r="AH132" s="146"/>
      <c r="AI132" s="146"/>
    </row>
    <row r="133" spans="1:35" x14ac:dyDescent="0.25">
      <c r="A133" s="146"/>
      <c r="B133" s="146"/>
      <c r="C133" s="146"/>
      <c r="D133" s="146"/>
      <c r="E133" s="146"/>
      <c r="F133" s="146"/>
      <c r="G133" s="146"/>
      <c r="H133" s="146"/>
      <c r="I133" s="146"/>
      <c r="J133" s="146"/>
      <c r="K133" s="146"/>
      <c r="L133" s="146"/>
      <c r="M133" s="146"/>
      <c r="N133" s="328"/>
      <c r="O133" s="328"/>
      <c r="P133" s="146"/>
      <c r="Q133" s="146"/>
      <c r="R133" s="146"/>
      <c r="S133" s="328"/>
      <c r="T133" s="328"/>
      <c r="U133" s="146"/>
      <c r="V133" s="146"/>
      <c r="W133" s="146"/>
      <c r="X133" s="328"/>
      <c r="Y133" s="328"/>
      <c r="Z133" s="146"/>
      <c r="AA133" s="328"/>
      <c r="AB133" s="328"/>
      <c r="AC133" s="328"/>
      <c r="AD133" s="146"/>
      <c r="AE133" s="146"/>
      <c r="AF133" s="146"/>
      <c r="AG133" s="146"/>
      <c r="AH133" s="146"/>
      <c r="AI133" s="146"/>
    </row>
    <row r="134" spans="1:35" x14ac:dyDescent="0.25">
      <c r="A134" s="146"/>
      <c r="B134" s="146"/>
      <c r="C134" s="146"/>
      <c r="D134" s="146"/>
      <c r="E134" s="146"/>
      <c r="F134" s="146"/>
      <c r="G134" s="146"/>
      <c r="H134" s="146"/>
      <c r="I134" s="146"/>
      <c r="J134" s="146"/>
      <c r="K134" s="146"/>
      <c r="L134" s="146"/>
      <c r="M134" s="146"/>
      <c r="N134" s="328"/>
      <c r="O134" s="328"/>
      <c r="P134" s="146"/>
      <c r="Q134" s="146"/>
      <c r="R134" s="146"/>
      <c r="S134" s="328"/>
      <c r="T134" s="328"/>
      <c r="U134" s="146"/>
      <c r="V134" s="146"/>
      <c r="W134" s="146"/>
      <c r="X134" s="328"/>
      <c r="Y134" s="328"/>
      <c r="Z134" s="146"/>
      <c r="AA134" s="328"/>
      <c r="AB134" s="328"/>
      <c r="AC134" s="328"/>
      <c r="AD134" s="146"/>
      <c r="AE134" s="146"/>
      <c r="AF134" s="146"/>
      <c r="AG134" s="146"/>
      <c r="AH134" s="146"/>
      <c r="AI134" s="146"/>
    </row>
    <row r="135" spans="1:35" x14ac:dyDescent="0.25">
      <c r="A135" s="146"/>
      <c r="B135" s="146"/>
      <c r="C135" s="146"/>
      <c r="D135" s="146"/>
      <c r="E135" s="146"/>
      <c r="F135" s="146"/>
      <c r="G135" s="146"/>
      <c r="H135" s="146"/>
      <c r="I135" s="146"/>
      <c r="J135" s="146"/>
      <c r="K135" s="146"/>
      <c r="L135" s="146"/>
      <c r="M135" s="146"/>
      <c r="N135" s="328"/>
      <c r="O135" s="328"/>
      <c r="P135" s="146"/>
      <c r="Q135" s="146"/>
      <c r="R135" s="146"/>
      <c r="S135" s="328"/>
      <c r="T135" s="328"/>
      <c r="U135" s="146"/>
      <c r="V135" s="146"/>
      <c r="W135" s="146"/>
      <c r="X135" s="328"/>
      <c r="Y135" s="328"/>
      <c r="Z135" s="146"/>
      <c r="AA135" s="328"/>
      <c r="AB135" s="328"/>
      <c r="AC135" s="328"/>
      <c r="AD135" s="146"/>
      <c r="AE135" s="146"/>
      <c r="AF135" s="146"/>
      <c r="AG135" s="146"/>
      <c r="AH135" s="146"/>
      <c r="AI135" s="146"/>
    </row>
    <row r="136" spans="1:35" x14ac:dyDescent="0.25">
      <c r="A136" s="146"/>
      <c r="B136" s="146"/>
      <c r="C136" s="146"/>
      <c r="D136" s="146"/>
      <c r="E136" s="146"/>
      <c r="F136" s="146"/>
      <c r="G136" s="146"/>
      <c r="H136" s="146"/>
      <c r="I136" s="146"/>
      <c r="J136" s="146"/>
      <c r="K136" s="146"/>
      <c r="L136" s="146"/>
      <c r="M136" s="146"/>
      <c r="N136" s="328"/>
      <c r="O136" s="328"/>
      <c r="P136" s="146"/>
      <c r="Q136" s="146"/>
      <c r="R136" s="146"/>
      <c r="S136" s="328"/>
      <c r="T136" s="328"/>
      <c r="U136" s="146"/>
      <c r="V136" s="146"/>
      <c r="W136" s="146"/>
      <c r="X136" s="328"/>
      <c r="Y136" s="328"/>
      <c r="Z136" s="146"/>
      <c r="AA136" s="328"/>
      <c r="AB136" s="328"/>
      <c r="AC136" s="328"/>
      <c r="AD136" s="146"/>
      <c r="AE136" s="146"/>
      <c r="AF136" s="146"/>
      <c r="AG136" s="146"/>
      <c r="AH136" s="146"/>
      <c r="AI136" s="146"/>
    </row>
  </sheetData>
  <mergeCells count="15">
    <mergeCell ref="A25:AD25"/>
    <mergeCell ref="A45:AD45"/>
    <mergeCell ref="A83:AD83"/>
    <mergeCell ref="A1:AD1"/>
    <mergeCell ref="A119:E119"/>
    <mergeCell ref="A4:A5"/>
    <mergeCell ref="A26:A27"/>
    <mergeCell ref="A84:A85"/>
    <mergeCell ref="A46:A47"/>
    <mergeCell ref="A118:E118"/>
    <mergeCell ref="K5:O5"/>
    <mergeCell ref="K27:O27"/>
    <mergeCell ref="K47:O47"/>
    <mergeCell ref="K85:O85"/>
    <mergeCell ref="A3:AD3"/>
  </mergeCells>
  <phoneticPr fontId="15" type="noConversion"/>
  <printOptions horizontalCentered="1" verticalCentered="1"/>
  <pageMargins left="0.25" right="0.49" top="0.2" bottom="0.38" header="0.17" footer="0.25"/>
  <pageSetup paperSize="5" scale="54" orientation="landscape" r:id="rId1"/>
  <headerFooter alignWithMargins="0">
    <oddFooter>&amp;RSource: Office of Institutional Research</oddFooter>
  </headerFooter>
  <rowBreaks count="1" manualBreakCount="1">
    <brk id="44" max="29" man="1"/>
  </rowBreaks>
  <webPublishItems count="1">
    <webPublishItem id="31505" divId="2004_2005 FACT BOOK WORKING COPY_31505" sourceType="sheet" destinationFile="C:\Documents and Settings\mkirkpatrick\My Documents\2005-2006 Fact Book\2005-2006 WEB PAGES\05-06fall2005CHP.htm"/>
  </webPublishItem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IV136"/>
  <sheetViews>
    <sheetView zoomScale="60" zoomScaleNormal="60" workbookViewId="0">
      <selection sqref="A1:AD1"/>
    </sheetView>
  </sheetViews>
  <sheetFormatPr defaultColWidth="6.6640625" defaultRowHeight="13.2" x14ac:dyDescent="0.25"/>
  <cols>
    <col min="1" max="1" width="55.6640625" style="143" customWidth="1"/>
    <col min="2" max="5" width="10.33203125" style="143" hidden="1" customWidth="1"/>
    <col min="6" max="25" width="10.33203125" style="143" customWidth="1"/>
    <col min="26" max="32" width="10.109375" style="143" customWidth="1"/>
    <col min="33" max="39" width="11.5546875" style="143" customWidth="1"/>
    <col min="40" max="16384" width="6.6640625" style="143"/>
  </cols>
  <sheetData>
    <row r="1" spans="1:39" ht="24.75" customHeight="1" x14ac:dyDescent="0.35">
      <c r="A1" s="1721" t="s">
        <v>854</v>
      </c>
      <c r="B1" s="1721"/>
      <c r="C1" s="1721"/>
      <c r="D1" s="1721"/>
      <c r="E1" s="1721"/>
      <c r="F1" s="1721"/>
      <c r="G1" s="1721"/>
      <c r="H1" s="1721"/>
      <c r="I1" s="1721"/>
      <c r="J1" s="1721"/>
      <c r="K1" s="1721"/>
      <c r="L1" s="1721"/>
      <c r="M1" s="1721"/>
      <c r="N1" s="1721"/>
      <c r="O1" s="1721"/>
      <c r="P1" s="1721"/>
      <c r="Q1" s="1721"/>
      <c r="R1" s="1721"/>
      <c r="S1" s="1721"/>
      <c r="T1" s="1721"/>
      <c r="U1" s="1721"/>
      <c r="V1" s="1721"/>
      <c r="W1" s="1721"/>
      <c r="X1" s="1721"/>
      <c r="Y1" s="1721"/>
      <c r="Z1" s="1721"/>
      <c r="AA1" s="1721"/>
      <c r="AB1" s="1721"/>
      <c r="AC1" s="1721"/>
      <c r="AD1" s="1721"/>
    </row>
    <row r="2" spans="1:39" ht="12.75" customHeight="1" thickBot="1" x14ac:dyDescent="0.3">
      <c r="A2" s="145"/>
      <c r="B2" s="147"/>
      <c r="C2" s="147"/>
      <c r="D2" s="147"/>
      <c r="E2" s="147"/>
      <c r="F2" s="147"/>
      <c r="G2" s="147"/>
      <c r="H2" s="147"/>
      <c r="I2" s="147"/>
      <c r="J2" s="147"/>
      <c r="K2" s="147"/>
      <c r="L2" s="147"/>
      <c r="M2" s="147"/>
      <c r="N2" s="328"/>
      <c r="O2" s="328"/>
      <c r="P2" s="147"/>
      <c r="Q2" s="147"/>
      <c r="R2" s="147"/>
      <c r="S2" s="328"/>
      <c r="T2" s="328"/>
      <c r="U2" s="147"/>
      <c r="V2" s="147"/>
      <c r="W2" s="147"/>
      <c r="X2" s="328"/>
      <c r="Y2" s="328"/>
      <c r="Z2" s="328"/>
      <c r="AA2" s="328"/>
      <c r="AB2" s="328"/>
      <c r="AC2" s="328"/>
      <c r="AD2" s="328"/>
      <c r="AE2" s="328"/>
      <c r="AF2" s="328"/>
      <c r="AG2" s="328"/>
      <c r="AH2" s="328"/>
      <c r="AI2" s="328"/>
      <c r="AJ2" s="328"/>
      <c r="AK2" s="328"/>
      <c r="AL2" s="328"/>
      <c r="AM2" s="328"/>
    </row>
    <row r="3" spans="1:39" customFormat="1" ht="18" thickBot="1" x14ac:dyDescent="0.35">
      <c r="A3" s="1718" t="s">
        <v>419</v>
      </c>
      <c r="B3" s="1719"/>
      <c r="C3" s="1719"/>
      <c r="D3" s="1719"/>
      <c r="E3" s="1719"/>
      <c r="F3" s="1719"/>
      <c r="G3" s="1719"/>
      <c r="H3" s="1719"/>
      <c r="I3" s="1719"/>
      <c r="J3" s="1719"/>
      <c r="K3" s="1719"/>
      <c r="L3" s="1719"/>
      <c r="M3" s="1719"/>
      <c r="N3" s="1719"/>
      <c r="O3" s="1719"/>
      <c r="P3" s="1719"/>
      <c r="Q3" s="1719"/>
      <c r="R3" s="1719"/>
      <c r="S3" s="1719"/>
      <c r="T3" s="1719"/>
      <c r="U3" s="1719"/>
      <c r="V3" s="1719"/>
      <c r="W3" s="1719"/>
      <c r="X3" s="1719"/>
      <c r="Y3" s="1719"/>
      <c r="Z3" s="1719"/>
      <c r="AA3" s="1719"/>
      <c r="AB3" s="1719"/>
      <c r="AC3" s="1719"/>
      <c r="AD3" s="1720"/>
    </row>
    <row r="4" spans="1:39" ht="26.4" x14ac:dyDescent="0.25">
      <c r="A4" s="1723" t="s">
        <v>952</v>
      </c>
      <c r="B4" s="148" t="s">
        <v>954</v>
      </c>
      <c r="C4" s="148" t="s">
        <v>955</v>
      </c>
      <c r="D4" s="148" t="s">
        <v>956</v>
      </c>
      <c r="E4" s="820" t="s">
        <v>1015</v>
      </c>
      <c r="F4" s="148" t="s">
        <v>954</v>
      </c>
      <c r="G4" s="148" t="s">
        <v>955</v>
      </c>
      <c r="H4" s="148" t="s">
        <v>956</v>
      </c>
      <c r="I4" s="823" t="s">
        <v>1015</v>
      </c>
      <c r="J4" s="820" t="s">
        <v>1017</v>
      </c>
      <c r="K4" s="148" t="s">
        <v>954</v>
      </c>
      <c r="L4" s="148" t="s">
        <v>955</v>
      </c>
      <c r="M4" s="148" t="s">
        <v>956</v>
      </c>
      <c r="N4" s="823" t="s">
        <v>1015</v>
      </c>
      <c r="O4" s="820" t="s">
        <v>1017</v>
      </c>
      <c r="P4" s="148" t="s">
        <v>954</v>
      </c>
      <c r="Q4" s="148" t="s">
        <v>955</v>
      </c>
      <c r="R4" s="148" t="s">
        <v>956</v>
      </c>
      <c r="S4" s="823" t="s">
        <v>1015</v>
      </c>
      <c r="T4" s="820" t="s">
        <v>1017</v>
      </c>
      <c r="U4" s="148" t="s">
        <v>954</v>
      </c>
      <c r="V4" s="148" t="s">
        <v>955</v>
      </c>
      <c r="W4" s="148" t="s">
        <v>956</v>
      </c>
      <c r="X4" s="823" t="s">
        <v>1015</v>
      </c>
      <c r="Y4" s="821" t="s">
        <v>1017</v>
      </c>
      <c r="Z4" s="148" t="s">
        <v>954</v>
      </c>
      <c r="AA4" s="148" t="s">
        <v>955</v>
      </c>
      <c r="AB4" s="148" t="s">
        <v>956</v>
      </c>
      <c r="AC4" s="823" t="s">
        <v>1015</v>
      </c>
      <c r="AD4" s="779" t="s">
        <v>1017</v>
      </c>
      <c r="AE4" s="328"/>
      <c r="AF4" s="328"/>
      <c r="AG4" s="328"/>
      <c r="AH4" s="329"/>
      <c r="AI4" s="328"/>
      <c r="AJ4" s="328"/>
      <c r="AK4" s="328"/>
      <c r="AL4" s="328"/>
    </row>
    <row r="5" spans="1:39" x14ac:dyDescent="0.25">
      <c r="A5" s="1724"/>
      <c r="B5" s="740" t="s">
        <v>1441</v>
      </c>
      <c r="C5" s="148"/>
      <c r="D5" s="148"/>
      <c r="E5" s="729"/>
      <c r="F5" s="740" t="s">
        <v>1440</v>
      </c>
      <c r="G5" s="148"/>
      <c r="H5" s="148"/>
      <c r="I5" s="148"/>
      <c r="J5" s="818"/>
      <c r="K5" s="1726" t="s">
        <v>1390</v>
      </c>
      <c r="L5" s="1727"/>
      <c r="M5" s="1727"/>
      <c r="N5" s="1727"/>
      <c r="O5" s="1728"/>
      <c r="P5" s="819" t="s">
        <v>1391</v>
      </c>
      <c r="Q5" s="148"/>
      <c r="R5" s="148"/>
      <c r="S5" s="148"/>
      <c r="T5" s="818"/>
      <c r="U5" s="819" t="s">
        <v>1392</v>
      </c>
      <c r="V5" s="148"/>
      <c r="W5" s="148"/>
      <c r="X5" s="148"/>
      <c r="Y5" s="818"/>
      <c r="Z5" s="819" t="s">
        <v>1517</v>
      </c>
      <c r="AA5" s="148"/>
      <c r="AB5" s="148"/>
      <c r="AC5" s="148"/>
      <c r="AD5" s="741"/>
      <c r="AE5" s="328"/>
      <c r="AF5" s="328"/>
      <c r="AG5" s="328"/>
      <c r="AH5" s="328"/>
      <c r="AI5" s="328"/>
      <c r="AJ5" s="328"/>
      <c r="AK5" s="328"/>
      <c r="AL5" s="328"/>
    </row>
    <row r="6" spans="1:39" x14ac:dyDescent="0.25">
      <c r="A6" s="564" t="s">
        <v>423</v>
      </c>
      <c r="B6" s="151"/>
      <c r="C6" s="152"/>
      <c r="D6" s="152"/>
      <c r="E6" s="153"/>
      <c r="F6" s="151"/>
      <c r="G6" s="152"/>
      <c r="H6" s="152"/>
      <c r="I6" s="152"/>
      <c r="J6" s="330"/>
      <c r="K6" s="151"/>
      <c r="L6" s="152"/>
      <c r="M6" s="152"/>
      <c r="N6" s="152"/>
      <c r="O6" s="330"/>
      <c r="P6" s="151"/>
      <c r="Q6" s="152"/>
      <c r="R6" s="152"/>
      <c r="S6" s="152"/>
      <c r="T6" s="330"/>
      <c r="U6" s="151"/>
      <c r="V6" s="152"/>
      <c r="W6" s="152"/>
      <c r="X6" s="152"/>
      <c r="Y6" s="330"/>
      <c r="Z6" s="151"/>
      <c r="AA6" s="152"/>
      <c r="AB6" s="152"/>
      <c r="AC6" s="152"/>
      <c r="AD6" s="565"/>
      <c r="AE6" s="328"/>
      <c r="AF6" s="328"/>
      <c r="AG6" s="328"/>
      <c r="AH6" s="328"/>
      <c r="AI6" s="328"/>
      <c r="AJ6" s="328"/>
      <c r="AK6" s="328"/>
      <c r="AL6" s="328"/>
    </row>
    <row r="7" spans="1:39" x14ac:dyDescent="0.25">
      <c r="A7" s="566" t="s">
        <v>962</v>
      </c>
      <c r="B7" s="154">
        <f>+'NEW Fall CHP by DISC'!B7/15</f>
        <v>20.8</v>
      </c>
      <c r="C7" s="154">
        <f>+'NEW Fall CHP by DISC'!C7/15</f>
        <v>10.8</v>
      </c>
      <c r="D7" s="154">
        <f>+'NEW Fall CHP by DISC'!D7/12</f>
        <v>0</v>
      </c>
      <c r="E7" s="745">
        <f t="shared" ref="E7:E14" si="0">SUM(B7:D7)</f>
        <v>31.6</v>
      </c>
      <c r="F7" s="154">
        <f>+'NEW Fall CHP by DISC'!F7/15</f>
        <v>23.8</v>
      </c>
      <c r="G7" s="154">
        <f>+'NEW Fall CHP by DISC'!G7/15</f>
        <v>13.6</v>
      </c>
      <c r="H7" s="154">
        <f>+'NEW Fall CHP by DISC'!H7/12</f>
        <v>0</v>
      </c>
      <c r="I7" s="154">
        <f t="shared" ref="I7:I14" si="1">SUM(F7:H7)</f>
        <v>37.4</v>
      </c>
      <c r="J7" s="602">
        <f t="shared" ref="J7:J15" si="2">IF(E7&gt;0,(I7-E7)/E7,(IF(I7=0,"N/A",100%)))</f>
        <v>0.18354430379746825</v>
      </c>
      <c r="K7" s="154">
        <f>+'NEW Fall CHP by DISC'!K7/15</f>
        <v>21</v>
      </c>
      <c r="L7" s="154">
        <f>+'NEW Fall CHP by DISC'!L7/15</f>
        <v>23.8</v>
      </c>
      <c r="M7" s="154">
        <f>+'NEW Fall CHP by DISC'!M7/12</f>
        <v>0</v>
      </c>
      <c r="N7" s="154">
        <f t="shared" ref="N7:N14" si="3">SUM(K7:M7)</f>
        <v>44.8</v>
      </c>
      <c r="O7" s="602">
        <f t="shared" ref="O7:O15" si="4">IF(I7&gt;0,(N7-I7)/I7,(IF(N7=0,"N/A",100%)))</f>
        <v>0.19786096256684488</v>
      </c>
      <c r="P7" s="154">
        <f>+'NEW Fall CHP by DISC'!P7/15</f>
        <v>26.4</v>
      </c>
      <c r="Q7" s="154">
        <f>+'NEW Fall CHP by DISC'!Q7/15</f>
        <v>20.399999999999999</v>
      </c>
      <c r="R7" s="154">
        <f>+'NEW Fall CHP by DISC'!R7/12</f>
        <v>0</v>
      </c>
      <c r="S7" s="154">
        <f t="shared" ref="S7:S14" si="5">SUM(P7:R7)</f>
        <v>46.8</v>
      </c>
      <c r="T7" s="602">
        <f t="shared" ref="T7:T15" si="6">IF(N7&gt;0,(S7-N7)/N7,(IF(S7=0,"N/A",100%)))</f>
        <v>4.4642857142857144E-2</v>
      </c>
      <c r="U7" s="154">
        <f>+'NEW Fall CHP by DISC'!U7/15</f>
        <v>27.6</v>
      </c>
      <c r="V7" s="154">
        <f>+'NEW Fall CHP by DISC'!V7/15</f>
        <v>19</v>
      </c>
      <c r="W7" s="154">
        <f>+'NEW Fall CHP by DISC'!W7/12</f>
        <v>0</v>
      </c>
      <c r="X7" s="154">
        <f t="shared" ref="X7:X14" si="7">SUM(U7:W7)</f>
        <v>46.6</v>
      </c>
      <c r="Y7" s="602">
        <f t="shared" ref="Y7:Y15" si="8">IF(S7&gt;0,(X7-S7)/S7,(IF(X7=0,"N/A",100%)))</f>
        <v>-4.2735042735041829E-3</v>
      </c>
      <c r="Z7" s="154">
        <f>+'NEW Fall CHP by DISC'!Z7/15</f>
        <v>26.6</v>
      </c>
      <c r="AA7" s="154">
        <f>+'NEW Fall CHP by DISC'!AA7/15</f>
        <v>21.933333333333334</v>
      </c>
      <c r="AB7" s="154">
        <f>+'NEW Fall CHP by DISC'!AB7/12</f>
        <v>0</v>
      </c>
      <c r="AC7" s="154">
        <f t="shared" ref="AC7:AC14" si="9">SUM(Z7:AB7)</f>
        <v>48.533333333333331</v>
      </c>
      <c r="AD7" s="567">
        <f t="shared" ref="AD7:AD15" si="10">IF(X7&gt;0,(AC7-X7)/X7,(IF(AC7=0,"N/A",100%)))</f>
        <v>4.1487839771101501E-2</v>
      </c>
      <c r="AE7" s="328"/>
      <c r="AF7" s="328"/>
      <c r="AG7" s="328"/>
      <c r="AH7" s="328"/>
      <c r="AI7" s="328"/>
      <c r="AJ7" s="328"/>
      <c r="AK7" s="328"/>
      <c r="AL7" s="328"/>
    </row>
    <row r="8" spans="1:39" s="156" customFormat="1" x14ac:dyDescent="0.25">
      <c r="A8" s="568" t="s">
        <v>963</v>
      </c>
      <c r="B8" s="154">
        <f>+'NEW Fall CHP by DISC'!B8/15</f>
        <v>48.466666666666669</v>
      </c>
      <c r="C8" s="154">
        <f>+'NEW Fall CHP by DISC'!C8/15</f>
        <v>38.133333333333333</v>
      </c>
      <c r="D8" s="154">
        <f>+'NEW Fall CHP by DISC'!D8/12</f>
        <v>0</v>
      </c>
      <c r="E8" s="745">
        <f t="shared" si="0"/>
        <v>86.6</v>
      </c>
      <c r="F8" s="154">
        <f>+'NEW Fall CHP by DISC'!F8/15</f>
        <v>70.599999999999994</v>
      </c>
      <c r="G8" s="154">
        <f>+'NEW Fall CHP by DISC'!G8/15</f>
        <v>42</v>
      </c>
      <c r="H8" s="154">
        <f>+'NEW Fall CHP by DISC'!H8/12</f>
        <v>0</v>
      </c>
      <c r="I8" s="154">
        <f t="shared" si="1"/>
        <v>112.6</v>
      </c>
      <c r="J8" s="602">
        <f t="shared" si="2"/>
        <v>0.30023094688221713</v>
      </c>
      <c r="K8" s="154">
        <f>+'NEW Fall CHP by DISC'!K8/15</f>
        <v>65.599999999999994</v>
      </c>
      <c r="L8" s="154">
        <f>+'NEW Fall CHP by DISC'!L8/15</f>
        <v>49.866666666666667</v>
      </c>
      <c r="M8" s="154">
        <f>+'NEW Fall CHP by DISC'!M8/12</f>
        <v>0</v>
      </c>
      <c r="N8" s="154">
        <f t="shared" si="3"/>
        <v>115.46666666666667</v>
      </c>
      <c r="O8" s="602">
        <f t="shared" si="4"/>
        <v>2.54588513913559E-2</v>
      </c>
      <c r="P8" s="154">
        <f>+'NEW Fall CHP by DISC'!P8/15</f>
        <v>64.400000000000006</v>
      </c>
      <c r="Q8" s="154">
        <f>+'NEW Fall CHP by DISC'!Q8/15</f>
        <v>40.666666666666664</v>
      </c>
      <c r="R8" s="154">
        <f>+'NEW Fall CHP by DISC'!R8/12</f>
        <v>0</v>
      </c>
      <c r="S8" s="154">
        <f t="shared" si="5"/>
        <v>105.06666666666666</v>
      </c>
      <c r="T8" s="602">
        <f t="shared" si="6"/>
        <v>-9.0069284064665175E-2</v>
      </c>
      <c r="U8" s="154">
        <f>+'NEW Fall CHP by DISC'!U8/15</f>
        <v>65.400000000000006</v>
      </c>
      <c r="V8" s="154">
        <f>+'NEW Fall CHP by DISC'!V8/15</f>
        <v>42.93333333333333</v>
      </c>
      <c r="W8" s="154">
        <f>+'NEW Fall CHP by DISC'!W8/12</f>
        <v>0</v>
      </c>
      <c r="X8" s="154">
        <f t="shared" si="7"/>
        <v>108.33333333333334</v>
      </c>
      <c r="Y8" s="602">
        <f t="shared" si="8"/>
        <v>3.1091370558375762E-2</v>
      </c>
      <c r="Z8" s="154">
        <f>+'NEW Fall CHP by DISC'!Z8/15</f>
        <v>67.400000000000006</v>
      </c>
      <c r="AA8" s="154">
        <f>+'NEW Fall CHP by DISC'!AA8/15</f>
        <v>46.333333333333336</v>
      </c>
      <c r="AB8" s="154">
        <f>+'NEW Fall CHP by DISC'!AB8/12</f>
        <v>0</v>
      </c>
      <c r="AC8" s="154">
        <f t="shared" si="9"/>
        <v>113.73333333333335</v>
      </c>
      <c r="AD8" s="567">
        <f t="shared" si="10"/>
        <v>4.9846153846153894E-2</v>
      </c>
      <c r="AE8" s="569"/>
      <c r="AF8" s="569"/>
      <c r="AG8" s="569"/>
      <c r="AH8" s="569"/>
      <c r="AI8" s="569"/>
      <c r="AJ8" s="569"/>
      <c r="AK8" s="569"/>
      <c r="AL8" s="569"/>
    </row>
    <row r="9" spans="1:39" x14ac:dyDescent="0.25">
      <c r="A9" s="566" t="s">
        <v>964</v>
      </c>
      <c r="B9" s="154">
        <f>+'NEW Fall CHP by DISC'!B9/15</f>
        <v>1.8</v>
      </c>
      <c r="C9" s="154">
        <f>+'NEW Fall CHP by DISC'!C9/15</f>
        <v>0</v>
      </c>
      <c r="D9" s="154">
        <f>+'NEW Fall CHP by DISC'!D9/12</f>
        <v>0</v>
      </c>
      <c r="E9" s="745">
        <f t="shared" si="0"/>
        <v>1.8</v>
      </c>
      <c r="F9" s="154">
        <f>+'NEW Fall CHP by DISC'!F9/15</f>
        <v>3</v>
      </c>
      <c r="G9" s="154">
        <f>+'NEW Fall CHP by DISC'!G9/15</f>
        <v>0</v>
      </c>
      <c r="H9" s="154">
        <f>+'NEW Fall CHP by DISC'!H9/12</f>
        <v>0</v>
      </c>
      <c r="I9" s="154">
        <f t="shared" si="1"/>
        <v>3</v>
      </c>
      <c r="J9" s="602">
        <f t="shared" si="2"/>
        <v>0.66666666666666663</v>
      </c>
      <c r="K9" s="154">
        <f>+'NEW Fall CHP by DISC'!K9/15</f>
        <v>1.6</v>
      </c>
      <c r="L9" s="154">
        <f>+'NEW Fall CHP by DISC'!L9/15</f>
        <v>0</v>
      </c>
      <c r="M9" s="154">
        <f>+'NEW Fall CHP by DISC'!M9/12</f>
        <v>0</v>
      </c>
      <c r="N9" s="154">
        <f t="shared" si="3"/>
        <v>1.6</v>
      </c>
      <c r="O9" s="602">
        <f t="shared" si="4"/>
        <v>-0.46666666666666662</v>
      </c>
      <c r="P9" s="154">
        <f>+'NEW Fall CHP by DISC'!P9/15</f>
        <v>1.2</v>
      </c>
      <c r="Q9" s="154">
        <f>+'NEW Fall CHP by DISC'!Q9/15</f>
        <v>0</v>
      </c>
      <c r="R9" s="154">
        <f>+'NEW Fall CHP by DISC'!R9/12</f>
        <v>0</v>
      </c>
      <c r="S9" s="154">
        <f t="shared" si="5"/>
        <v>1.2</v>
      </c>
      <c r="T9" s="602">
        <f t="shared" si="6"/>
        <v>-0.25000000000000006</v>
      </c>
      <c r="U9" s="154">
        <f>+'NEW Fall CHP by DISC'!U9/15</f>
        <v>1.9333333333333333</v>
      </c>
      <c r="V9" s="154">
        <f>+'NEW Fall CHP by DISC'!V9/15</f>
        <v>0</v>
      </c>
      <c r="W9" s="154">
        <f>+'NEW Fall CHP by DISC'!W9/12</f>
        <v>0</v>
      </c>
      <c r="X9" s="154">
        <f t="shared" si="7"/>
        <v>1.9333333333333333</v>
      </c>
      <c r="Y9" s="602">
        <f t="shared" si="8"/>
        <v>0.61111111111111116</v>
      </c>
      <c r="Z9" s="154">
        <f>+'NEW Fall CHP by DISC'!Z9/15</f>
        <v>1.2</v>
      </c>
      <c r="AA9" s="154">
        <f>+'NEW Fall CHP by DISC'!AA9/15</f>
        <v>0</v>
      </c>
      <c r="AB9" s="154">
        <f>+'NEW Fall CHP by DISC'!AB9/12</f>
        <v>0</v>
      </c>
      <c r="AC9" s="154">
        <f t="shared" si="9"/>
        <v>1.2</v>
      </c>
      <c r="AD9" s="567">
        <f t="shared" si="10"/>
        <v>-0.37931034482758624</v>
      </c>
      <c r="AE9" s="328"/>
      <c r="AF9" s="328"/>
      <c r="AG9" s="328"/>
      <c r="AH9" s="328"/>
      <c r="AI9" s="328"/>
      <c r="AJ9" s="328"/>
      <c r="AK9" s="328"/>
      <c r="AL9" s="328"/>
    </row>
    <row r="10" spans="1:39" x14ac:dyDescent="0.25">
      <c r="A10" s="566" t="s">
        <v>965</v>
      </c>
      <c r="B10" s="154">
        <f>+'NEW Fall CHP by DISC'!B10/15</f>
        <v>49.2</v>
      </c>
      <c r="C10" s="154">
        <f>+'NEW Fall CHP by DISC'!C10/15</f>
        <v>6.2</v>
      </c>
      <c r="D10" s="154">
        <f>+'NEW Fall CHP by DISC'!D10/12</f>
        <v>0</v>
      </c>
      <c r="E10" s="745">
        <f t="shared" si="0"/>
        <v>55.400000000000006</v>
      </c>
      <c r="F10" s="154">
        <f>+'NEW Fall CHP by DISC'!F10/15</f>
        <v>52.6</v>
      </c>
      <c r="G10" s="154">
        <f>+'NEW Fall CHP by DISC'!G10/15</f>
        <v>5.6</v>
      </c>
      <c r="H10" s="154">
        <f>+'NEW Fall CHP by DISC'!H10/12</f>
        <v>0</v>
      </c>
      <c r="I10" s="154">
        <f t="shared" si="1"/>
        <v>58.2</v>
      </c>
      <c r="J10" s="602">
        <f t="shared" si="2"/>
        <v>5.0541516245487306E-2</v>
      </c>
      <c r="K10" s="154">
        <f>+'NEW Fall CHP by DISC'!K10/15</f>
        <v>66</v>
      </c>
      <c r="L10" s="154">
        <f>+'NEW Fall CHP by DISC'!L10/15</f>
        <v>6.6</v>
      </c>
      <c r="M10" s="154">
        <f>+'NEW Fall CHP by DISC'!M10/12</f>
        <v>0</v>
      </c>
      <c r="N10" s="154">
        <f t="shared" si="3"/>
        <v>72.599999999999994</v>
      </c>
      <c r="O10" s="602">
        <f t="shared" si="4"/>
        <v>0.24742268041237098</v>
      </c>
      <c r="P10" s="154">
        <f>+'NEW Fall CHP by DISC'!P10/15</f>
        <v>77</v>
      </c>
      <c r="Q10" s="154">
        <f>+'NEW Fall CHP by DISC'!Q10/15</f>
        <v>5.4</v>
      </c>
      <c r="R10" s="154">
        <f>+'NEW Fall CHP by DISC'!R10/12</f>
        <v>0</v>
      </c>
      <c r="S10" s="154">
        <f t="shared" si="5"/>
        <v>82.4</v>
      </c>
      <c r="T10" s="602">
        <f t="shared" si="6"/>
        <v>0.13498622589531697</v>
      </c>
      <c r="U10" s="154">
        <f>+'NEW Fall CHP by DISC'!U10/15</f>
        <v>68.400000000000006</v>
      </c>
      <c r="V10" s="154">
        <f>+'NEW Fall CHP by DISC'!V10/15</f>
        <v>4.8</v>
      </c>
      <c r="W10" s="154">
        <f>+'NEW Fall CHP by DISC'!W10/12</f>
        <v>0</v>
      </c>
      <c r="X10" s="154">
        <f t="shared" si="7"/>
        <v>73.2</v>
      </c>
      <c r="Y10" s="602">
        <f t="shared" si="8"/>
        <v>-0.11165048543689324</v>
      </c>
      <c r="Z10" s="154">
        <f>+'NEW Fall CHP by DISC'!Z10/15</f>
        <v>64.599999999999994</v>
      </c>
      <c r="AA10" s="154">
        <f>+'NEW Fall CHP by DISC'!AA10/15</f>
        <v>5.2</v>
      </c>
      <c r="AB10" s="154">
        <f>+'NEW Fall CHP by DISC'!AB10/12</f>
        <v>0</v>
      </c>
      <c r="AC10" s="154">
        <f t="shared" si="9"/>
        <v>69.8</v>
      </c>
      <c r="AD10" s="567">
        <f t="shared" si="10"/>
        <v>-4.6448087431694061E-2</v>
      </c>
      <c r="AE10" s="328"/>
      <c r="AF10" s="328"/>
      <c r="AG10" s="328"/>
      <c r="AH10" s="328"/>
      <c r="AI10" s="328"/>
      <c r="AJ10" s="328"/>
      <c r="AK10" s="328"/>
      <c r="AL10" s="328"/>
    </row>
    <row r="11" spans="1:39" x14ac:dyDescent="0.25">
      <c r="A11" s="566" t="s">
        <v>966</v>
      </c>
      <c r="B11" s="154">
        <f>+'NEW Fall CHP by DISC'!B11/15</f>
        <v>0</v>
      </c>
      <c r="C11" s="154">
        <f>+'NEW Fall CHP by DISC'!C11/15</f>
        <v>12.8</v>
      </c>
      <c r="D11" s="154">
        <f>+'NEW Fall CHP by DISC'!D11/12</f>
        <v>0</v>
      </c>
      <c r="E11" s="745">
        <f t="shared" si="0"/>
        <v>12.8</v>
      </c>
      <c r="F11" s="154">
        <f>+'NEW Fall CHP by DISC'!F11/15</f>
        <v>4.5999999999999996</v>
      </c>
      <c r="G11" s="154">
        <f>+'NEW Fall CHP by DISC'!G11/15</f>
        <v>10.4</v>
      </c>
      <c r="H11" s="154">
        <f>+'NEW Fall CHP by DISC'!H11/12</f>
        <v>0</v>
      </c>
      <c r="I11" s="154">
        <f t="shared" si="1"/>
        <v>15</v>
      </c>
      <c r="J11" s="602">
        <f t="shared" si="2"/>
        <v>0.17187499999999994</v>
      </c>
      <c r="K11" s="154">
        <f>+'NEW Fall CHP by DISC'!K11/15</f>
        <v>5.2</v>
      </c>
      <c r="L11" s="154">
        <f>+'NEW Fall CHP by DISC'!L11/15</f>
        <v>13.8</v>
      </c>
      <c r="M11" s="154">
        <f>+'NEW Fall CHP by DISC'!M11/12</f>
        <v>0</v>
      </c>
      <c r="N11" s="154">
        <f t="shared" si="3"/>
        <v>19</v>
      </c>
      <c r="O11" s="602">
        <f t="shared" si="4"/>
        <v>0.26666666666666666</v>
      </c>
      <c r="P11" s="154">
        <f>+'NEW Fall CHP by DISC'!P11/15</f>
        <v>6</v>
      </c>
      <c r="Q11" s="154">
        <f>+'NEW Fall CHP by DISC'!Q11/15</f>
        <v>13.8</v>
      </c>
      <c r="R11" s="154">
        <f>+'NEW Fall CHP by DISC'!R11/12</f>
        <v>0</v>
      </c>
      <c r="S11" s="154">
        <f t="shared" si="5"/>
        <v>19.8</v>
      </c>
      <c r="T11" s="602">
        <f t="shared" si="6"/>
        <v>4.2105263157894778E-2</v>
      </c>
      <c r="U11" s="154">
        <f>+'NEW Fall CHP by DISC'!U11/15</f>
        <v>4.8</v>
      </c>
      <c r="V11" s="154">
        <f>+'NEW Fall CHP by DISC'!V11/15</f>
        <v>16.2</v>
      </c>
      <c r="W11" s="154">
        <f>+'NEW Fall CHP by DISC'!W11/12</f>
        <v>0</v>
      </c>
      <c r="X11" s="154">
        <f t="shared" si="7"/>
        <v>21</v>
      </c>
      <c r="Y11" s="602">
        <f t="shared" si="8"/>
        <v>6.0606060606060566E-2</v>
      </c>
      <c r="Z11" s="154">
        <f>+'NEW Fall CHP by DISC'!Z11/15</f>
        <v>10</v>
      </c>
      <c r="AA11" s="154">
        <f>+'NEW Fall CHP by DISC'!AA11/15</f>
        <v>13.8</v>
      </c>
      <c r="AB11" s="154">
        <f>+'NEW Fall CHP by DISC'!AB11/12</f>
        <v>0</v>
      </c>
      <c r="AC11" s="154">
        <f t="shared" si="9"/>
        <v>23.8</v>
      </c>
      <c r="AD11" s="567">
        <f t="shared" si="10"/>
        <v>0.13333333333333336</v>
      </c>
      <c r="AE11" s="328"/>
      <c r="AF11" s="328"/>
      <c r="AG11" s="328"/>
      <c r="AH11" s="328"/>
      <c r="AI11" s="328"/>
      <c r="AJ11" s="328"/>
      <c r="AK11" s="328"/>
      <c r="AL11" s="328"/>
    </row>
    <row r="12" spans="1:39" x14ac:dyDescent="0.25">
      <c r="A12" s="566" t="s">
        <v>967</v>
      </c>
      <c r="B12" s="154">
        <f>+'NEW Fall CHP by DISC'!B12/15</f>
        <v>10.733333333333333</v>
      </c>
      <c r="C12" s="154">
        <f>+'NEW Fall CHP by DISC'!C12/15</f>
        <v>10.4</v>
      </c>
      <c r="D12" s="154">
        <f>+'NEW Fall CHP by DISC'!D12/12</f>
        <v>0</v>
      </c>
      <c r="E12" s="745">
        <f t="shared" si="0"/>
        <v>21.133333333333333</v>
      </c>
      <c r="F12" s="154">
        <f>+'NEW Fall CHP by DISC'!F12/15</f>
        <v>14.4</v>
      </c>
      <c r="G12" s="154">
        <f>+'NEW Fall CHP by DISC'!G12/15</f>
        <v>9</v>
      </c>
      <c r="H12" s="154">
        <f>+'NEW Fall CHP by DISC'!H12/12</f>
        <v>0</v>
      </c>
      <c r="I12" s="154">
        <f t="shared" si="1"/>
        <v>23.4</v>
      </c>
      <c r="J12" s="602">
        <f t="shared" si="2"/>
        <v>0.10725552050473182</v>
      </c>
      <c r="K12" s="154">
        <f>+'NEW Fall CHP by DISC'!K12/15</f>
        <v>16.2</v>
      </c>
      <c r="L12" s="154">
        <f>+'NEW Fall CHP by DISC'!L12/15</f>
        <v>12</v>
      </c>
      <c r="M12" s="154">
        <f>+'NEW Fall CHP by DISC'!M12/12</f>
        <v>0</v>
      </c>
      <c r="N12" s="154">
        <f t="shared" si="3"/>
        <v>28.2</v>
      </c>
      <c r="O12" s="602">
        <f t="shared" si="4"/>
        <v>0.20512820512820518</v>
      </c>
      <c r="P12" s="154">
        <f>+'NEW Fall CHP by DISC'!P12/15</f>
        <v>18.600000000000001</v>
      </c>
      <c r="Q12" s="154">
        <f>+'NEW Fall CHP by DISC'!Q12/15</f>
        <v>12</v>
      </c>
      <c r="R12" s="154">
        <f>+'NEW Fall CHP by DISC'!R12/12</f>
        <v>0</v>
      </c>
      <c r="S12" s="154">
        <f t="shared" si="5"/>
        <v>30.6</v>
      </c>
      <c r="T12" s="602">
        <f t="shared" si="6"/>
        <v>8.5106382978723485E-2</v>
      </c>
      <c r="U12" s="154">
        <f>+'NEW Fall CHP by DISC'!U12/15</f>
        <v>22.866666666666667</v>
      </c>
      <c r="V12" s="154">
        <f>+'NEW Fall CHP by DISC'!V12/15</f>
        <v>13.4</v>
      </c>
      <c r="W12" s="154">
        <f>+'NEW Fall CHP by DISC'!W12/12</f>
        <v>0</v>
      </c>
      <c r="X12" s="154">
        <f t="shared" si="7"/>
        <v>36.266666666666666</v>
      </c>
      <c r="Y12" s="602">
        <f t="shared" si="8"/>
        <v>0.18518518518518509</v>
      </c>
      <c r="Z12" s="154">
        <f>+'NEW Fall CHP by DISC'!Z12/15</f>
        <v>21.133333333333333</v>
      </c>
      <c r="AA12" s="154">
        <f>+'NEW Fall CHP by DISC'!AA12/15</f>
        <v>15.8</v>
      </c>
      <c r="AB12" s="154">
        <f>+'NEW Fall CHP by DISC'!AB12/12</f>
        <v>0</v>
      </c>
      <c r="AC12" s="154">
        <f t="shared" si="9"/>
        <v>36.933333333333337</v>
      </c>
      <c r="AD12" s="567">
        <f t="shared" si="10"/>
        <v>1.8382352941176603E-2</v>
      </c>
      <c r="AE12" s="328"/>
      <c r="AF12" s="328"/>
      <c r="AG12" s="328"/>
      <c r="AH12" s="328"/>
      <c r="AI12" s="328"/>
      <c r="AJ12" s="328"/>
      <c r="AK12" s="328"/>
      <c r="AL12" s="328"/>
    </row>
    <row r="13" spans="1:39" x14ac:dyDescent="0.25">
      <c r="A13" s="566" t="s">
        <v>968</v>
      </c>
      <c r="B13" s="154">
        <f>+'NEW Fall CHP by DISC'!B13/15</f>
        <v>0</v>
      </c>
      <c r="C13" s="154">
        <f>+'NEW Fall CHP by DISC'!C13/15</f>
        <v>28.4</v>
      </c>
      <c r="D13" s="154">
        <f>+'NEW Fall CHP by DISC'!D13/12</f>
        <v>0</v>
      </c>
      <c r="E13" s="745">
        <f t="shared" si="0"/>
        <v>28.4</v>
      </c>
      <c r="F13" s="154">
        <f>+'NEW Fall CHP by DISC'!F13/15</f>
        <v>0</v>
      </c>
      <c r="G13" s="154">
        <f>+'NEW Fall CHP by DISC'!G13/15</f>
        <v>28.2</v>
      </c>
      <c r="H13" s="154">
        <f>+'NEW Fall CHP by DISC'!H13/12</f>
        <v>0</v>
      </c>
      <c r="I13" s="154">
        <f t="shared" si="1"/>
        <v>28.2</v>
      </c>
      <c r="J13" s="602">
        <f t="shared" si="2"/>
        <v>-7.0422535211267356E-3</v>
      </c>
      <c r="K13" s="154">
        <f>+'NEW Fall CHP by DISC'!K13/15</f>
        <v>0</v>
      </c>
      <c r="L13" s="154">
        <f>+'NEW Fall CHP by DISC'!L13/15</f>
        <v>35.200000000000003</v>
      </c>
      <c r="M13" s="154">
        <f>+'NEW Fall CHP by DISC'!M13/12</f>
        <v>0</v>
      </c>
      <c r="N13" s="154">
        <f t="shared" si="3"/>
        <v>35.200000000000003</v>
      </c>
      <c r="O13" s="602">
        <f t="shared" si="4"/>
        <v>0.24822695035461007</v>
      </c>
      <c r="P13" s="154">
        <f>+'NEW Fall CHP by DISC'!P13/15</f>
        <v>0</v>
      </c>
      <c r="Q13" s="154">
        <f>+'NEW Fall CHP by DISC'!Q13/15</f>
        <v>33.4</v>
      </c>
      <c r="R13" s="154">
        <f>+'NEW Fall CHP by DISC'!R13/12</f>
        <v>0</v>
      </c>
      <c r="S13" s="154">
        <f t="shared" si="5"/>
        <v>33.4</v>
      </c>
      <c r="T13" s="602">
        <f t="shared" si="6"/>
        <v>-5.1136363636363751E-2</v>
      </c>
      <c r="U13" s="154">
        <f>+'NEW Fall CHP by DISC'!U13/15</f>
        <v>0</v>
      </c>
      <c r="V13" s="154">
        <f>+'NEW Fall CHP by DISC'!V13/15</f>
        <v>37.6</v>
      </c>
      <c r="W13" s="154">
        <f>+'NEW Fall CHP by DISC'!W13/12</f>
        <v>0</v>
      </c>
      <c r="X13" s="154">
        <f t="shared" si="7"/>
        <v>37.6</v>
      </c>
      <c r="Y13" s="602">
        <f t="shared" si="8"/>
        <v>0.12574850299401208</v>
      </c>
      <c r="Z13" s="154">
        <f>+'NEW Fall CHP by DISC'!Z13/15</f>
        <v>0</v>
      </c>
      <c r="AA13" s="154">
        <f>+'NEW Fall CHP by DISC'!AA13/15</f>
        <v>40.6</v>
      </c>
      <c r="AB13" s="154">
        <f>+'NEW Fall CHP by DISC'!AB13/12</f>
        <v>0</v>
      </c>
      <c r="AC13" s="154">
        <f t="shared" si="9"/>
        <v>40.6</v>
      </c>
      <c r="AD13" s="567">
        <f t="shared" si="10"/>
        <v>7.9787234042553182E-2</v>
      </c>
      <c r="AE13" s="328"/>
      <c r="AF13" s="328"/>
      <c r="AG13" s="328"/>
      <c r="AH13" s="328"/>
      <c r="AI13" s="328"/>
      <c r="AJ13" s="328"/>
      <c r="AK13" s="328"/>
      <c r="AL13" s="328"/>
    </row>
    <row r="14" spans="1:39" x14ac:dyDescent="0.25">
      <c r="A14" s="566" t="s">
        <v>969</v>
      </c>
      <c r="B14" s="154">
        <f>+'NEW Fall CHP by DISC'!B14/15</f>
        <v>0</v>
      </c>
      <c r="C14" s="154">
        <f>+'NEW Fall CHP by DISC'!C14/15</f>
        <v>18.8</v>
      </c>
      <c r="D14" s="154">
        <f>+'NEW Fall CHP by DISC'!D14/12</f>
        <v>0</v>
      </c>
      <c r="E14" s="745">
        <f t="shared" si="0"/>
        <v>18.8</v>
      </c>
      <c r="F14" s="154">
        <f>+'NEW Fall CHP by DISC'!F14/15</f>
        <v>0</v>
      </c>
      <c r="G14" s="154">
        <f>+'NEW Fall CHP by DISC'!G14/15</f>
        <v>18.399999999999999</v>
      </c>
      <c r="H14" s="154">
        <f>+'NEW Fall CHP by DISC'!H14/12</f>
        <v>0</v>
      </c>
      <c r="I14" s="154">
        <f t="shared" si="1"/>
        <v>18.399999999999999</v>
      </c>
      <c r="J14" s="602">
        <f t="shared" si="2"/>
        <v>-2.1276595744680965E-2</v>
      </c>
      <c r="K14" s="154">
        <f>+'NEW Fall CHP by DISC'!K14/15</f>
        <v>0</v>
      </c>
      <c r="L14" s="154">
        <f>+'NEW Fall CHP by DISC'!L14/15</f>
        <v>21.6</v>
      </c>
      <c r="M14" s="154">
        <f>+'NEW Fall CHP by DISC'!M14/12</f>
        <v>0</v>
      </c>
      <c r="N14" s="154">
        <f t="shared" si="3"/>
        <v>21.6</v>
      </c>
      <c r="O14" s="602">
        <f t="shared" si="4"/>
        <v>0.17391304347826103</v>
      </c>
      <c r="P14" s="154">
        <f>+'NEW Fall CHP by DISC'!P14/15</f>
        <v>0</v>
      </c>
      <c r="Q14" s="154">
        <f>+'NEW Fall CHP by DISC'!Q14/15</f>
        <v>20</v>
      </c>
      <c r="R14" s="154">
        <f>+'NEW Fall CHP by DISC'!R14/12</f>
        <v>0</v>
      </c>
      <c r="S14" s="154">
        <f t="shared" si="5"/>
        <v>20</v>
      </c>
      <c r="T14" s="602">
        <f t="shared" si="6"/>
        <v>-7.4074074074074139E-2</v>
      </c>
      <c r="U14" s="154">
        <f>+'NEW Fall CHP by DISC'!U14/15</f>
        <v>0</v>
      </c>
      <c r="V14" s="154">
        <f>+'NEW Fall CHP by DISC'!V14/15</f>
        <v>33.200000000000003</v>
      </c>
      <c r="W14" s="154">
        <f>+'NEW Fall CHP by DISC'!W14/12</f>
        <v>0</v>
      </c>
      <c r="X14" s="154">
        <f t="shared" si="7"/>
        <v>33.200000000000003</v>
      </c>
      <c r="Y14" s="602">
        <f t="shared" si="8"/>
        <v>0.66000000000000014</v>
      </c>
      <c r="Z14" s="154">
        <f>+'NEW Fall CHP by DISC'!Z14/15</f>
        <v>0</v>
      </c>
      <c r="AA14" s="154">
        <f>+'NEW Fall CHP by DISC'!AA14/15</f>
        <v>28.6</v>
      </c>
      <c r="AB14" s="154">
        <f>+'NEW Fall CHP by DISC'!AB14/12</f>
        <v>0</v>
      </c>
      <c r="AC14" s="154">
        <f t="shared" si="9"/>
        <v>28.6</v>
      </c>
      <c r="AD14" s="567">
        <f t="shared" si="10"/>
        <v>-0.13855421686746991</v>
      </c>
      <c r="AE14" s="328"/>
      <c r="AF14" s="328"/>
      <c r="AG14" s="328"/>
      <c r="AH14" s="328"/>
      <c r="AI14" s="328"/>
      <c r="AJ14" s="328"/>
      <c r="AK14" s="328"/>
      <c r="AL14" s="328"/>
    </row>
    <row r="15" spans="1:39" s="575" customFormat="1" ht="13.8" x14ac:dyDescent="0.25">
      <c r="A15" s="570" t="s">
        <v>961</v>
      </c>
      <c r="B15" s="571">
        <f t="shared" ref="B15:I15" si="11">SUM(B7:B14)</f>
        <v>131</v>
      </c>
      <c r="C15" s="571">
        <f t="shared" si="11"/>
        <v>125.53333333333335</v>
      </c>
      <c r="D15" s="571">
        <f t="shared" si="11"/>
        <v>0</v>
      </c>
      <c r="E15" s="746">
        <f t="shared" si="11"/>
        <v>256.5333333333333</v>
      </c>
      <c r="F15" s="571">
        <f t="shared" si="11"/>
        <v>169</v>
      </c>
      <c r="G15" s="571">
        <f t="shared" si="11"/>
        <v>127.20000000000002</v>
      </c>
      <c r="H15" s="571">
        <f t="shared" si="11"/>
        <v>0</v>
      </c>
      <c r="I15" s="571">
        <f t="shared" si="11"/>
        <v>296.2</v>
      </c>
      <c r="J15" s="730">
        <f t="shared" si="2"/>
        <v>0.15462577962577972</v>
      </c>
      <c r="K15" s="571">
        <f>SUM(K7:K14)</f>
        <v>175.59999999999997</v>
      </c>
      <c r="L15" s="571">
        <f>SUM(L7:L14)</f>
        <v>162.86666666666665</v>
      </c>
      <c r="M15" s="571">
        <f>SUM(M7:M14)</f>
        <v>0</v>
      </c>
      <c r="N15" s="571">
        <f>SUM(N7:N14)</f>
        <v>338.46666666666664</v>
      </c>
      <c r="O15" s="730">
        <f t="shared" si="4"/>
        <v>0.1426963763223047</v>
      </c>
      <c r="P15" s="571">
        <f>SUM(P7:P14)</f>
        <v>193.6</v>
      </c>
      <c r="Q15" s="571">
        <f>SUM(Q7:Q14)</f>
        <v>145.66666666666666</v>
      </c>
      <c r="R15" s="571">
        <f>SUM(R7:R14)</f>
        <v>0</v>
      </c>
      <c r="S15" s="571">
        <f>SUM(S7:S14)</f>
        <v>339.26666666666665</v>
      </c>
      <c r="T15" s="730">
        <f t="shared" si="6"/>
        <v>2.3636005515068289E-3</v>
      </c>
      <c r="U15" s="571">
        <f>SUM(U7:U14)</f>
        <v>191.00000000000003</v>
      </c>
      <c r="V15" s="571">
        <f>SUM(V7:V14)</f>
        <v>167.13333333333333</v>
      </c>
      <c r="W15" s="571">
        <f>SUM(W7:W14)</f>
        <v>0</v>
      </c>
      <c r="X15" s="571">
        <f>SUM(X7:X14)</f>
        <v>358.13333333333333</v>
      </c>
      <c r="Y15" s="730">
        <f t="shared" si="8"/>
        <v>5.5610139516604463E-2</v>
      </c>
      <c r="Z15" s="571">
        <f>SUM(Z7:Z14)</f>
        <v>190.93333333333334</v>
      </c>
      <c r="AA15" s="571">
        <f>SUM(AA7:AA14)</f>
        <v>172.26666666666665</v>
      </c>
      <c r="AB15" s="571">
        <f>SUM(AB7:AB14)</f>
        <v>0</v>
      </c>
      <c r="AC15" s="571">
        <f>SUM(AC7:AC14)</f>
        <v>363.20000000000005</v>
      </c>
      <c r="AD15" s="574">
        <f t="shared" si="10"/>
        <v>1.4147431124348622E-2</v>
      </c>
    </row>
    <row r="16" spans="1:39" x14ac:dyDescent="0.25">
      <c r="A16" s="576" t="s">
        <v>424</v>
      </c>
      <c r="B16" s="577"/>
      <c r="C16" s="578"/>
      <c r="D16" s="578"/>
      <c r="E16" s="518"/>
      <c r="F16" s="577"/>
      <c r="G16" s="578"/>
      <c r="H16" s="578"/>
      <c r="I16" s="578"/>
      <c r="J16" s="518"/>
      <c r="K16" s="605"/>
      <c r="L16" s="578"/>
      <c r="M16" s="578"/>
      <c r="N16" s="578"/>
      <c r="O16" s="518"/>
      <c r="P16" s="605"/>
      <c r="Q16" s="578"/>
      <c r="R16" s="578"/>
      <c r="S16" s="578"/>
      <c r="T16" s="518"/>
      <c r="U16" s="605"/>
      <c r="V16" s="578"/>
      <c r="W16" s="578"/>
      <c r="X16" s="578"/>
      <c r="Y16" s="518"/>
      <c r="Z16" s="605"/>
      <c r="AA16" s="578"/>
      <c r="AB16" s="578"/>
      <c r="AC16" s="578"/>
      <c r="AD16" s="599"/>
      <c r="AE16" s="328"/>
      <c r="AF16" s="328"/>
      <c r="AG16" s="328"/>
      <c r="AH16" s="328"/>
      <c r="AI16" s="328"/>
      <c r="AJ16" s="328"/>
      <c r="AK16" s="328"/>
      <c r="AL16" s="328"/>
    </row>
    <row r="17" spans="1:38" x14ac:dyDescent="0.25">
      <c r="A17" s="579" t="s">
        <v>989</v>
      </c>
      <c r="B17" s="154">
        <f>+'NEW Fall CHP by DISC'!B17/15</f>
        <v>8</v>
      </c>
      <c r="C17" s="154">
        <f>+'NEW Fall CHP by DISC'!C17/15</f>
        <v>0.8</v>
      </c>
      <c r="D17" s="154">
        <f>+'NEW Fall CHP by DISC'!D17/12</f>
        <v>0</v>
      </c>
      <c r="E17" s="375">
        <f>SUM(B17:D17)</f>
        <v>8.8000000000000007</v>
      </c>
      <c r="F17" s="154">
        <f>+'NEW Fall CHP by DISC'!F17/15</f>
        <v>9</v>
      </c>
      <c r="G17" s="154">
        <f>+'NEW Fall CHP by DISC'!G17/15</f>
        <v>0</v>
      </c>
      <c r="H17" s="154">
        <f>+'NEW Fall CHP by DISC'!H17/12</f>
        <v>0</v>
      </c>
      <c r="I17" s="581">
        <f>SUM(F17:H17)</f>
        <v>9</v>
      </c>
      <c r="J17" s="582">
        <f t="shared" ref="J17:J22" si="12">IF(E17&gt;0,(I17-E17)/E17,(IF(I17=0,"N/A",100%)))</f>
        <v>2.2727272727272645E-2</v>
      </c>
      <c r="K17" s="154">
        <f>+'NEW Fall CHP by DISC'!K17/15</f>
        <v>16.600000000000001</v>
      </c>
      <c r="L17" s="154">
        <f>+'NEW Fall CHP by DISC'!L17/15</f>
        <v>0</v>
      </c>
      <c r="M17" s="154">
        <f>+'NEW Fall CHP by DISC'!M17/12</f>
        <v>0</v>
      </c>
      <c r="N17" s="581">
        <f>SUM(K17:M17)</f>
        <v>16.600000000000001</v>
      </c>
      <c r="O17" s="582">
        <f t="shared" ref="O17:O22" si="13">IF(I17&gt;0,(N17-I17)/I17,(IF(N17=0,"N/A",100%)))</f>
        <v>0.84444444444444455</v>
      </c>
      <c r="P17" s="154">
        <f>+'NEW Fall CHP by DISC'!P17/15</f>
        <v>15.2</v>
      </c>
      <c r="Q17" s="154">
        <f>+'NEW Fall CHP by DISC'!Q17/15</f>
        <v>0</v>
      </c>
      <c r="R17" s="154">
        <f>+'NEW Fall CHP by DISC'!R17/12</f>
        <v>0</v>
      </c>
      <c r="S17" s="581">
        <f>SUM(P17:R17)</f>
        <v>15.2</v>
      </c>
      <c r="T17" s="582">
        <f t="shared" ref="T17:T22" si="14">IF(N17&gt;0,(S17-N17)/N17,(IF(S17=0,"N/A",100%)))</f>
        <v>-8.433734939759048E-2</v>
      </c>
      <c r="U17" s="154">
        <f>+'NEW Fall CHP by DISC'!U17/15</f>
        <v>14</v>
      </c>
      <c r="V17" s="154">
        <f>+'NEW Fall CHP by DISC'!V17/15</f>
        <v>0</v>
      </c>
      <c r="W17" s="154">
        <f>+'NEW Fall CHP by DISC'!W17/12</f>
        <v>0</v>
      </c>
      <c r="X17" s="581">
        <f>SUM(U17:W17)</f>
        <v>14</v>
      </c>
      <c r="Y17" s="582">
        <f t="shared" ref="Y17:Y22" si="15">IF(S17&gt;0,(X17-S17)/S17,(IF(X17=0,"N/A",100%)))</f>
        <v>-7.8947368421052586E-2</v>
      </c>
      <c r="Z17" s="154">
        <f>+'NEW Fall CHP by DISC'!Z17/15</f>
        <v>14.2</v>
      </c>
      <c r="AA17" s="154">
        <f>+'NEW Fall CHP by DISC'!AA17/15</f>
        <v>0</v>
      </c>
      <c r="AB17" s="154">
        <f>+'NEW Fall CHP by DISC'!AB17/12</f>
        <v>0</v>
      </c>
      <c r="AC17" s="581">
        <f>SUM(Z17:AB17)</f>
        <v>14.2</v>
      </c>
      <c r="AD17" s="583">
        <f t="shared" ref="AD17:AD22" si="16">IF(X17&gt;0,(AC17-X17)/X17,(IF(AC17=0,"N/A",100%)))</f>
        <v>1.4285714285714235E-2</v>
      </c>
      <c r="AE17" s="328"/>
      <c r="AF17" s="328"/>
      <c r="AG17" s="328"/>
      <c r="AH17" s="328"/>
      <c r="AI17" s="328"/>
      <c r="AJ17" s="328"/>
      <c r="AK17" s="328"/>
      <c r="AL17" s="328"/>
    </row>
    <row r="18" spans="1:38" x14ac:dyDescent="0.25">
      <c r="A18" s="579" t="s">
        <v>503</v>
      </c>
      <c r="B18" s="154">
        <f>+'NEW Fall CHP by DISC'!B18/15</f>
        <v>0</v>
      </c>
      <c r="C18" s="154">
        <f>+'NEW Fall CHP by DISC'!C18/15</f>
        <v>3</v>
      </c>
      <c r="D18" s="154">
        <f>+'NEW Fall CHP by DISC'!D18/12</f>
        <v>0</v>
      </c>
      <c r="E18" s="375">
        <f>SUM(B18:D18)</f>
        <v>3</v>
      </c>
      <c r="F18" s="154">
        <f>+'NEW Fall CHP by DISC'!F18/15</f>
        <v>0</v>
      </c>
      <c r="G18" s="154">
        <f>+'NEW Fall CHP by DISC'!G18/15</f>
        <v>5.2</v>
      </c>
      <c r="H18" s="154">
        <f>+'NEW Fall CHP by DISC'!H18/12</f>
        <v>0</v>
      </c>
      <c r="I18" s="581">
        <f>SUM(F18:H18)</f>
        <v>5.2</v>
      </c>
      <c r="J18" s="582">
        <f t="shared" si="12"/>
        <v>0.73333333333333339</v>
      </c>
      <c r="K18" s="154">
        <f>+'NEW Fall CHP by DISC'!K18/15</f>
        <v>0</v>
      </c>
      <c r="L18" s="154">
        <f>+'NEW Fall CHP by DISC'!L18/15</f>
        <v>4.8</v>
      </c>
      <c r="M18" s="154">
        <f>+'NEW Fall CHP by DISC'!M18/12</f>
        <v>0</v>
      </c>
      <c r="N18" s="581">
        <f>SUM(K18:M18)</f>
        <v>4.8</v>
      </c>
      <c r="O18" s="582">
        <f t="shared" si="13"/>
        <v>-7.6923076923076983E-2</v>
      </c>
      <c r="P18" s="154">
        <f>+'NEW Fall CHP by DISC'!P18/15</f>
        <v>0</v>
      </c>
      <c r="Q18" s="154">
        <f>+'NEW Fall CHP by DISC'!Q18/15</f>
        <v>2.8</v>
      </c>
      <c r="R18" s="154">
        <f>+'NEW Fall CHP by DISC'!R18/12</f>
        <v>0</v>
      </c>
      <c r="S18" s="581">
        <f>SUM(P18:R18)</f>
        <v>2.8</v>
      </c>
      <c r="T18" s="582">
        <f t="shared" si="14"/>
        <v>-0.41666666666666669</v>
      </c>
      <c r="U18" s="154">
        <f>+'NEW Fall CHP by DISC'!U18/15</f>
        <v>0</v>
      </c>
      <c r="V18" s="154">
        <f>+'NEW Fall CHP by DISC'!V18/15</f>
        <v>3</v>
      </c>
      <c r="W18" s="154">
        <f>+'NEW Fall CHP by DISC'!W18/12</f>
        <v>0</v>
      </c>
      <c r="X18" s="581">
        <f>SUM(U18:W18)</f>
        <v>3</v>
      </c>
      <c r="Y18" s="582">
        <f t="shared" si="15"/>
        <v>7.1428571428571494E-2</v>
      </c>
      <c r="Z18" s="154">
        <f>+'NEW Fall CHP by DISC'!Z18/15</f>
        <v>0</v>
      </c>
      <c r="AA18" s="154">
        <f>+'NEW Fall CHP by DISC'!AA18/15</f>
        <v>1.2</v>
      </c>
      <c r="AB18" s="154">
        <f>+'NEW Fall CHP by DISC'!AB18/12</f>
        <v>0</v>
      </c>
      <c r="AC18" s="581">
        <f>SUM(Z18:AB18)</f>
        <v>1.2</v>
      </c>
      <c r="AD18" s="583">
        <f t="shared" si="16"/>
        <v>-0.6</v>
      </c>
      <c r="AE18" s="328"/>
      <c r="AF18" s="328"/>
      <c r="AG18" s="328"/>
      <c r="AH18" s="328"/>
      <c r="AI18" s="328"/>
      <c r="AJ18" s="328"/>
      <c r="AK18" s="328"/>
      <c r="AL18" s="328"/>
    </row>
    <row r="19" spans="1:38" x14ac:dyDescent="0.25">
      <c r="A19" s="579" t="s">
        <v>988</v>
      </c>
      <c r="B19" s="154">
        <f>+'NEW Fall CHP by DISC'!B19/15</f>
        <v>27.6</v>
      </c>
      <c r="C19" s="154">
        <f>+'NEW Fall CHP by DISC'!C19/15</f>
        <v>36.4</v>
      </c>
      <c r="D19" s="154">
        <f>+'NEW Fall CHP by DISC'!D19/12</f>
        <v>0</v>
      </c>
      <c r="E19" s="375">
        <f>SUM(B19:D19)</f>
        <v>64</v>
      </c>
      <c r="F19" s="154">
        <f>+'NEW Fall CHP by DISC'!F19/15</f>
        <v>30.6</v>
      </c>
      <c r="G19" s="154">
        <f>+'NEW Fall CHP by DISC'!G19/15</f>
        <v>39.733333333333334</v>
      </c>
      <c r="H19" s="154">
        <f>+'NEW Fall CHP by DISC'!H19/12</f>
        <v>0</v>
      </c>
      <c r="I19" s="581">
        <f>SUM(F19:H19)</f>
        <v>70.333333333333343</v>
      </c>
      <c r="J19" s="582">
        <f t="shared" si="12"/>
        <v>9.8958333333333481E-2</v>
      </c>
      <c r="K19" s="154">
        <f>+'NEW Fall CHP by DISC'!K19/15</f>
        <v>51.8</v>
      </c>
      <c r="L19" s="154">
        <f>+'NEW Fall CHP by DISC'!L19/15</f>
        <v>26.8</v>
      </c>
      <c r="M19" s="154">
        <f>+'NEW Fall CHP by DISC'!M19/12</f>
        <v>0</v>
      </c>
      <c r="N19" s="581">
        <f>SUM(K19:M19)</f>
        <v>78.599999999999994</v>
      </c>
      <c r="O19" s="582">
        <f t="shared" si="13"/>
        <v>0.11753554502369645</v>
      </c>
      <c r="P19" s="154">
        <f>+'NEW Fall CHP by DISC'!P19/15</f>
        <v>60.2</v>
      </c>
      <c r="Q19" s="154">
        <f>+'NEW Fall CHP by DISC'!Q19/15</f>
        <v>21.533333333333335</v>
      </c>
      <c r="R19" s="154">
        <f>+'NEW Fall CHP by DISC'!R19/12</f>
        <v>0</v>
      </c>
      <c r="S19" s="581">
        <f>SUM(P19:R19)</f>
        <v>81.733333333333334</v>
      </c>
      <c r="T19" s="582">
        <f t="shared" si="14"/>
        <v>3.9864291772688805E-2</v>
      </c>
      <c r="U19" s="154">
        <f>+'NEW Fall CHP by DISC'!U19/15</f>
        <v>51.2</v>
      </c>
      <c r="V19" s="154">
        <f>+'NEW Fall CHP by DISC'!V19/15</f>
        <v>15.066666666666666</v>
      </c>
      <c r="W19" s="154">
        <f>+'NEW Fall CHP by DISC'!W19/12</f>
        <v>0</v>
      </c>
      <c r="X19" s="581">
        <f>SUM(U19:W19)</f>
        <v>66.266666666666666</v>
      </c>
      <c r="Y19" s="582">
        <f t="shared" si="15"/>
        <v>-0.18923327895595435</v>
      </c>
      <c r="Z19" s="154">
        <f>+'NEW Fall CHP by DISC'!Z19/15</f>
        <v>53.2</v>
      </c>
      <c r="AA19" s="154">
        <f>+'NEW Fall CHP by DISC'!AA19/15</f>
        <v>19</v>
      </c>
      <c r="AB19" s="154">
        <f>+'NEW Fall CHP by DISC'!AB19/12</f>
        <v>0</v>
      </c>
      <c r="AC19" s="581">
        <f>SUM(Z19:AB19)</f>
        <v>72.2</v>
      </c>
      <c r="AD19" s="583">
        <f t="shared" si="16"/>
        <v>8.9537223340040301E-2</v>
      </c>
      <c r="AE19" s="328"/>
      <c r="AF19" s="328"/>
      <c r="AG19" s="328"/>
      <c r="AH19" s="328"/>
      <c r="AI19" s="328"/>
      <c r="AJ19" s="328"/>
      <c r="AK19" s="328"/>
      <c r="AL19" s="328"/>
    </row>
    <row r="20" spans="1:38" x14ac:dyDescent="0.25">
      <c r="A20" s="579" t="s">
        <v>960</v>
      </c>
      <c r="B20" s="154">
        <f>+'NEW Fall CHP by DISC'!B20/15</f>
        <v>59.06666666666667</v>
      </c>
      <c r="C20" s="154">
        <f>+'NEW Fall CHP by DISC'!C20/15</f>
        <v>32</v>
      </c>
      <c r="D20" s="154">
        <f>+'NEW Fall CHP by DISC'!D20/12</f>
        <v>0</v>
      </c>
      <c r="E20" s="375">
        <f>SUM(B20:D20)</f>
        <v>91.066666666666663</v>
      </c>
      <c r="F20" s="154">
        <f>+'NEW Fall CHP by DISC'!F20/15</f>
        <v>65.666666666666671</v>
      </c>
      <c r="G20" s="154">
        <f>+'NEW Fall CHP by DISC'!G20/15</f>
        <v>33.200000000000003</v>
      </c>
      <c r="H20" s="154">
        <f>+'NEW Fall CHP by DISC'!H20/12</f>
        <v>0</v>
      </c>
      <c r="I20" s="581">
        <f>SUM(F20:H20)</f>
        <v>98.866666666666674</v>
      </c>
      <c r="J20" s="582">
        <f t="shared" si="12"/>
        <v>8.5651537335285632E-2</v>
      </c>
      <c r="K20" s="154">
        <f>+'NEW Fall CHP by DISC'!K20/15</f>
        <v>72.2</v>
      </c>
      <c r="L20" s="154">
        <f>+'NEW Fall CHP by DISC'!L20/15</f>
        <v>21.8</v>
      </c>
      <c r="M20" s="154">
        <f>+'NEW Fall CHP by DISC'!M20/12</f>
        <v>0</v>
      </c>
      <c r="N20" s="581">
        <f>SUM(K20:M20)</f>
        <v>94</v>
      </c>
      <c r="O20" s="582">
        <f t="shared" si="13"/>
        <v>-4.9224544841537494E-2</v>
      </c>
      <c r="P20" s="154">
        <f>+'NEW Fall CHP by DISC'!P20/15</f>
        <v>69.599999999999994</v>
      </c>
      <c r="Q20" s="154">
        <f>+'NEW Fall CHP by DISC'!Q20/15</f>
        <v>26.4</v>
      </c>
      <c r="R20" s="154">
        <f>+'NEW Fall CHP by DISC'!R20/12</f>
        <v>0</v>
      </c>
      <c r="S20" s="581">
        <f>SUM(P20:R20)</f>
        <v>96</v>
      </c>
      <c r="T20" s="582">
        <f t="shared" si="14"/>
        <v>2.1276595744680851E-2</v>
      </c>
      <c r="U20" s="154">
        <f>+'NEW Fall CHP by DISC'!U20/15</f>
        <v>77.86666666666666</v>
      </c>
      <c r="V20" s="154">
        <f>+'NEW Fall CHP by DISC'!V20/15</f>
        <v>33.6</v>
      </c>
      <c r="W20" s="154">
        <f>+'NEW Fall CHP by DISC'!W20/12</f>
        <v>0</v>
      </c>
      <c r="X20" s="581">
        <f>SUM(U20:W20)</f>
        <v>111.46666666666667</v>
      </c>
      <c r="Y20" s="582">
        <f t="shared" si="15"/>
        <v>0.16111111111111112</v>
      </c>
      <c r="Z20" s="154">
        <f>+'NEW Fall CHP by DISC'!Z20/15</f>
        <v>74.2</v>
      </c>
      <c r="AA20" s="154">
        <f>+'NEW Fall CHP by DISC'!AA20/15</f>
        <v>33.4</v>
      </c>
      <c r="AB20" s="154">
        <f>+'NEW Fall CHP by DISC'!AB20/12</f>
        <v>0</v>
      </c>
      <c r="AC20" s="581">
        <f>SUM(Z20:AB20)</f>
        <v>107.6</v>
      </c>
      <c r="AD20" s="583">
        <f t="shared" si="16"/>
        <v>-3.4688995215311075E-2</v>
      </c>
      <c r="AE20" s="328"/>
      <c r="AF20" s="328"/>
      <c r="AG20" s="328"/>
      <c r="AH20" s="328"/>
      <c r="AI20" s="328"/>
      <c r="AJ20" s="328"/>
      <c r="AK20" s="328"/>
      <c r="AL20" s="328"/>
    </row>
    <row r="21" spans="1:38" s="575" customFormat="1" ht="13.8" x14ac:dyDescent="0.25">
      <c r="A21" s="584" t="s">
        <v>961</v>
      </c>
      <c r="B21" s="586">
        <f t="shared" ref="B21:I21" si="17">SUM(B17:B20)</f>
        <v>94.666666666666671</v>
      </c>
      <c r="C21" s="586">
        <f t="shared" si="17"/>
        <v>72.199999999999989</v>
      </c>
      <c r="D21" s="586">
        <f t="shared" si="17"/>
        <v>0</v>
      </c>
      <c r="E21" s="587">
        <f t="shared" si="17"/>
        <v>166.86666666666667</v>
      </c>
      <c r="F21" s="586">
        <f t="shared" si="17"/>
        <v>105.26666666666668</v>
      </c>
      <c r="G21" s="586">
        <f t="shared" si="17"/>
        <v>78.13333333333334</v>
      </c>
      <c r="H21" s="586">
        <f t="shared" si="17"/>
        <v>0</v>
      </c>
      <c r="I21" s="586">
        <f t="shared" si="17"/>
        <v>183.40000000000003</v>
      </c>
      <c r="J21" s="588">
        <f t="shared" si="12"/>
        <v>9.9081102676788005E-2</v>
      </c>
      <c r="K21" s="585">
        <f>SUM(K17:K20)</f>
        <v>140.60000000000002</v>
      </c>
      <c r="L21" s="586">
        <f>SUM(L17:L20)</f>
        <v>53.400000000000006</v>
      </c>
      <c r="M21" s="586">
        <f>SUM(M17:M20)</f>
        <v>0</v>
      </c>
      <c r="N21" s="586">
        <f>SUM(N17:N20)</f>
        <v>194</v>
      </c>
      <c r="O21" s="588">
        <f t="shared" si="13"/>
        <v>5.7797164667393479E-2</v>
      </c>
      <c r="P21" s="585">
        <f>SUM(P17:P20)</f>
        <v>145</v>
      </c>
      <c r="Q21" s="586">
        <f>SUM(Q17:Q20)</f>
        <v>50.733333333333334</v>
      </c>
      <c r="R21" s="586">
        <f>SUM(R17:R20)</f>
        <v>0</v>
      </c>
      <c r="S21" s="586">
        <f>SUM(S17:S20)</f>
        <v>195.73333333333335</v>
      </c>
      <c r="T21" s="588">
        <f t="shared" si="14"/>
        <v>8.9347079037801463E-3</v>
      </c>
      <c r="U21" s="585">
        <f>SUM(U17:U20)</f>
        <v>143.06666666666666</v>
      </c>
      <c r="V21" s="586">
        <f>SUM(V17:V20)</f>
        <v>51.666666666666671</v>
      </c>
      <c r="W21" s="586">
        <f>SUM(W17:W20)</f>
        <v>0</v>
      </c>
      <c r="X21" s="586">
        <f>SUM(X17:X20)</f>
        <v>194.73333333333335</v>
      </c>
      <c r="Y21" s="588">
        <f t="shared" si="15"/>
        <v>-5.108991825613079E-3</v>
      </c>
      <c r="Z21" s="585">
        <f>SUM(Z17:Z20)</f>
        <v>141.60000000000002</v>
      </c>
      <c r="AA21" s="586">
        <f>SUM(AA17:AA20)</f>
        <v>53.599999999999994</v>
      </c>
      <c r="AB21" s="586">
        <f>SUM(AB17:AB20)</f>
        <v>0</v>
      </c>
      <c r="AC21" s="586">
        <f>SUM(AC17:AC20)</f>
        <v>195.2</v>
      </c>
      <c r="AD21" s="589">
        <f t="shared" si="16"/>
        <v>2.3964395754877102E-3</v>
      </c>
    </row>
    <row r="22" spans="1:38" s="596" customFormat="1" ht="16.2" thickBot="1" x14ac:dyDescent="0.35">
      <c r="A22" s="590" t="s">
        <v>425</v>
      </c>
      <c r="B22" s="592">
        <f t="shared" ref="B22:I22" si="18">+B21+B15</f>
        <v>225.66666666666669</v>
      </c>
      <c r="C22" s="592">
        <f t="shared" si="18"/>
        <v>197.73333333333335</v>
      </c>
      <c r="D22" s="592">
        <f t="shared" si="18"/>
        <v>0</v>
      </c>
      <c r="E22" s="593">
        <f t="shared" si="18"/>
        <v>423.4</v>
      </c>
      <c r="F22" s="592">
        <f t="shared" si="18"/>
        <v>274.26666666666665</v>
      </c>
      <c r="G22" s="592">
        <f t="shared" si="18"/>
        <v>205.33333333333337</v>
      </c>
      <c r="H22" s="592">
        <f t="shared" si="18"/>
        <v>0</v>
      </c>
      <c r="I22" s="592">
        <f t="shared" si="18"/>
        <v>479.6</v>
      </c>
      <c r="J22" s="594">
        <f t="shared" si="12"/>
        <v>0.13273500236183289</v>
      </c>
      <c r="K22" s="591">
        <f>+K21+K15</f>
        <v>316.2</v>
      </c>
      <c r="L22" s="592">
        <f>+L21+L15</f>
        <v>216.26666666666665</v>
      </c>
      <c r="M22" s="592">
        <f>+M21+M15</f>
        <v>0</v>
      </c>
      <c r="N22" s="592">
        <f>+N21+N15</f>
        <v>532.4666666666667</v>
      </c>
      <c r="O22" s="594">
        <f t="shared" si="13"/>
        <v>0.11023074784542676</v>
      </c>
      <c r="P22" s="591">
        <f>+P21+P15</f>
        <v>338.6</v>
      </c>
      <c r="Q22" s="592">
        <f>+Q21+Q15</f>
        <v>196.39999999999998</v>
      </c>
      <c r="R22" s="592">
        <f>+R21+R15</f>
        <v>0</v>
      </c>
      <c r="S22" s="592">
        <f>+S21+S15</f>
        <v>535</v>
      </c>
      <c r="T22" s="594">
        <f t="shared" si="14"/>
        <v>4.7577313133841921E-3</v>
      </c>
      <c r="U22" s="591">
        <f>+U21+U15</f>
        <v>334.06666666666672</v>
      </c>
      <c r="V22" s="592">
        <f>+V21+V15</f>
        <v>218.8</v>
      </c>
      <c r="W22" s="592">
        <f>+W21+W15</f>
        <v>0</v>
      </c>
      <c r="X22" s="592">
        <f>+X21+X15</f>
        <v>552.86666666666667</v>
      </c>
      <c r="Y22" s="594">
        <f t="shared" si="15"/>
        <v>3.3395638629283506E-2</v>
      </c>
      <c r="Z22" s="591">
        <f>+Z21+Z15</f>
        <v>332.53333333333336</v>
      </c>
      <c r="AA22" s="592">
        <f>+AA21+AA15</f>
        <v>225.86666666666665</v>
      </c>
      <c r="AB22" s="592">
        <f>+AB21+AB15</f>
        <v>0</v>
      </c>
      <c r="AC22" s="592">
        <f>+AC21+AC15</f>
        <v>558.40000000000009</v>
      </c>
      <c r="AD22" s="595">
        <f t="shared" si="16"/>
        <v>1.0008440853732214E-2</v>
      </c>
    </row>
    <row r="23" spans="1:38" ht="13.8" thickTop="1" x14ac:dyDescent="0.25">
      <c r="A23" s="597"/>
      <c r="B23" s="335"/>
      <c r="C23" s="335"/>
      <c r="D23" s="335"/>
      <c r="E23" s="335"/>
      <c r="F23" s="335"/>
      <c r="G23" s="335"/>
      <c r="H23" s="335"/>
      <c r="I23" s="335"/>
      <c r="J23" s="645"/>
      <c r="K23" s="328"/>
      <c r="L23" s="328"/>
      <c r="M23" s="328"/>
      <c r="N23" s="328"/>
      <c r="O23" s="328"/>
      <c r="P23" s="328"/>
      <c r="Q23" s="328"/>
      <c r="R23" s="328"/>
      <c r="S23" s="328"/>
      <c r="T23" s="328"/>
      <c r="U23" s="328"/>
      <c r="V23" s="328"/>
      <c r="W23" s="328"/>
      <c r="X23" s="328"/>
      <c r="Y23" s="328"/>
      <c r="Z23" s="328"/>
      <c r="AA23" s="328"/>
      <c r="AB23" s="328"/>
      <c r="AC23" s="328"/>
      <c r="AD23" s="328"/>
      <c r="AE23" s="328"/>
      <c r="AF23" s="328"/>
      <c r="AG23" s="328"/>
      <c r="AH23" s="328"/>
      <c r="AI23" s="328"/>
      <c r="AJ23" s="328"/>
      <c r="AK23" s="328"/>
      <c r="AL23" s="328"/>
    </row>
    <row r="24" spans="1:38" ht="13.8" thickBot="1" x14ac:dyDescent="0.3">
      <c r="A24" s="597"/>
      <c r="B24" s="335"/>
      <c r="C24" s="335"/>
      <c r="D24" s="335"/>
      <c r="E24" s="335"/>
      <c r="F24" s="335"/>
      <c r="G24" s="335"/>
      <c r="H24" s="335"/>
      <c r="I24" s="335"/>
      <c r="J24" s="598"/>
      <c r="K24" s="328"/>
      <c r="L24" s="328"/>
      <c r="M24" s="328"/>
      <c r="N24" s="328"/>
      <c r="O24" s="328"/>
      <c r="P24" s="328"/>
      <c r="Q24" s="328"/>
      <c r="R24" s="328"/>
      <c r="S24" s="328"/>
      <c r="T24" s="328"/>
      <c r="U24" s="328"/>
      <c r="V24" s="328"/>
      <c r="W24" s="328"/>
      <c r="X24" s="328"/>
      <c r="Y24" s="328"/>
      <c r="Z24" s="328"/>
      <c r="AA24" s="328"/>
      <c r="AB24" s="328"/>
      <c r="AC24" s="328"/>
      <c r="AD24" s="328"/>
      <c r="AE24" s="328"/>
      <c r="AF24" s="328"/>
      <c r="AG24" s="328"/>
      <c r="AH24" s="328"/>
      <c r="AI24" s="328"/>
      <c r="AJ24" s="328"/>
      <c r="AK24" s="328"/>
      <c r="AL24" s="328"/>
    </row>
    <row r="25" spans="1:38" customFormat="1" ht="18" thickBot="1" x14ac:dyDescent="0.35">
      <c r="A25" s="1718" t="s">
        <v>415</v>
      </c>
      <c r="B25" s="1719"/>
      <c r="C25" s="1719"/>
      <c r="D25" s="1719"/>
      <c r="E25" s="1719"/>
      <c r="F25" s="1719"/>
      <c r="G25" s="1719"/>
      <c r="H25" s="1719"/>
      <c r="I25" s="1719"/>
      <c r="J25" s="1719"/>
      <c r="K25" s="1719"/>
      <c r="L25" s="1719"/>
      <c r="M25" s="1719"/>
      <c r="N25" s="1719"/>
      <c r="O25" s="1719"/>
      <c r="P25" s="1719"/>
      <c r="Q25" s="1719"/>
      <c r="R25" s="1719"/>
      <c r="S25" s="1719"/>
      <c r="T25" s="1719"/>
      <c r="U25" s="1719"/>
      <c r="V25" s="1719"/>
      <c r="W25" s="1719"/>
      <c r="X25" s="1719"/>
      <c r="Y25" s="1719"/>
      <c r="Z25" s="1719"/>
      <c r="AA25" s="1719"/>
      <c r="AB25" s="1719"/>
      <c r="AC25" s="1719"/>
      <c r="AD25" s="1720"/>
    </row>
    <row r="26" spans="1:38" ht="26.4" x14ac:dyDescent="0.25">
      <c r="A26" s="1723" t="s">
        <v>952</v>
      </c>
      <c r="B26" s="148" t="s">
        <v>954</v>
      </c>
      <c r="C26" s="148" t="s">
        <v>955</v>
      </c>
      <c r="D26" s="148" t="s">
        <v>956</v>
      </c>
      <c r="E26" s="820" t="s">
        <v>1015</v>
      </c>
      <c r="F26" s="148" t="s">
        <v>954</v>
      </c>
      <c r="G26" s="148" t="s">
        <v>955</v>
      </c>
      <c r="H26" s="148" t="s">
        <v>956</v>
      </c>
      <c r="I26" s="823" t="s">
        <v>1015</v>
      </c>
      <c r="J26" s="820" t="s">
        <v>1017</v>
      </c>
      <c r="K26" s="148" t="s">
        <v>954</v>
      </c>
      <c r="L26" s="148" t="s">
        <v>955</v>
      </c>
      <c r="M26" s="148" t="s">
        <v>956</v>
      </c>
      <c r="N26" s="823" t="s">
        <v>1015</v>
      </c>
      <c r="O26" s="820" t="s">
        <v>1017</v>
      </c>
      <c r="P26" s="148" t="s">
        <v>954</v>
      </c>
      <c r="Q26" s="148" t="s">
        <v>955</v>
      </c>
      <c r="R26" s="148" t="s">
        <v>956</v>
      </c>
      <c r="S26" s="823" t="s">
        <v>1015</v>
      </c>
      <c r="T26" s="820" t="s">
        <v>1017</v>
      </c>
      <c r="U26" s="148" t="s">
        <v>954</v>
      </c>
      <c r="V26" s="148" t="s">
        <v>955</v>
      </c>
      <c r="W26" s="148" t="s">
        <v>956</v>
      </c>
      <c r="X26" s="823" t="s">
        <v>1015</v>
      </c>
      <c r="Y26" s="821" t="s">
        <v>1017</v>
      </c>
      <c r="Z26" s="148" t="s">
        <v>954</v>
      </c>
      <c r="AA26" s="148" t="s">
        <v>955</v>
      </c>
      <c r="AB26" s="148" t="s">
        <v>956</v>
      </c>
      <c r="AC26" s="823" t="s">
        <v>1015</v>
      </c>
      <c r="AD26" s="779" t="s">
        <v>1017</v>
      </c>
      <c r="AE26" s="328"/>
      <c r="AF26" s="328"/>
      <c r="AG26" s="328"/>
      <c r="AH26" s="329"/>
      <c r="AI26" s="328"/>
      <c r="AJ26" s="328"/>
      <c r="AK26" s="328"/>
      <c r="AL26" s="328"/>
    </row>
    <row r="27" spans="1:38" x14ac:dyDescent="0.25">
      <c r="A27" s="1724"/>
      <c r="B27" s="740" t="s">
        <v>1441</v>
      </c>
      <c r="C27" s="148"/>
      <c r="D27" s="148"/>
      <c r="E27" s="729"/>
      <c r="F27" s="740" t="s">
        <v>1440</v>
      </c>
      <c r="G27" s="148"/>
      <c r="H27" s="148"/>
      <c r="I27" s="148"/>
      <c r="J27" s="818"/>
      <c r="K27" s="1726" t="s">
        <v>1390</v>
      </c>
      <c r="L27" s="1727"/>
      <c r="M27" s="1727"/>
      <c r="N27" s="1727"/>
      <c r="O27" s="1728"/>
      <c r="P27" s="819" t="s">
        <v>1391</v>
      </c>
      <c r="Q27" s="148"/>
      <c r="R27" s="148"/>
      <c r="S27" s="148"/>
      <c r="T27" s="818"/>
      <c r="U27" s="819" t="s">
        <v>1392</v>
      </c>
      <c r="V27" s="148"/>
      <c r="W27" s="148"/>
      <c r="X27" s="148"/>
      <c r="Y27" s="818"/>
      <c r="Z27" s="819" t="s">
        <v>1517</v>
      </c>
      <c r="AA27" s="148"/>
      <c r="AB27" s="148"/>
      <c r="AC27" s="148"/>
      <c r="AD27" s="741"/>
      <c r="AE27" s="328"/>
      <c r="AF27" s="328"/>
      <c r="AG27" s="328"/>
      <c r="AH27" s="328"/>
      <c r="AI27" s="328"/>
      <c r="AJ27" s="328"/>
      <c r="AK27" s="328"/>
      <c r="AL27" s="328"/>
    </row>
    <row r="28" spans="1:38" x14ac:dyDescent="0.25">
      <c r="A28" s="576" t="s">
        <v>426</v>
      </c>
      <c r="B28" s="151"/>
      <c r="C28" s="152"/>
      <c r="D28" s="152"/>
      <c r="E28" s="153"/>
      <c r="F28" s="151"/>
      <c r="G28" s="152"/>
      <c r="H28" s="152"/>
      <c r="I28" s="152"/>
      <c r="J28" s="518"/>
      <c r="K28" s="151"/>
      <c r="L28" s="152"/>
      <c r="M28" s="152"/>
      <c r="N28" s="152"/>
      <c r="O28" s="518"/>
      <c r="P28" s="151"/>
      <c r="Q28" s="152"/>
      <c r="R28" s="152"/>
      <c r="S28" s="152"/>
      <c r="T28" s="518"/>
      <c r="U28" s="151"/>
      <c r="V28" s="152"/>
      <c r="W28" s="152"/>
      <c r="X28" s="152"/>
      <c r="Y28" s="518"/>
      <c r="Z28" s="151"/>
      <c r="AA28" s="152"/>
      <c r="AB28" s="152"/>
      <c r="AC28" s="152"/>
      <c r="AD28" s="599"/>
      <c r="AE28" s="328"/>
      <c r="AF28" s="328"/>
      <c r="AG28" s="328"/>
      <c r="AH28" s="328"/>
      <c r="AI28" s="328"/>
      <c r="AJ28" s="328"/>
      <c r="AK28" s="328"/>
      <c r="AL28" s="328"/>
    </row>
    <row r="29" spans="1:38" x14ac:dyDescent="0.25">
      <c r="A29" s="566" t="s">
        <v>971</v>
      </c>
      <c r="B29" s="154">
        <f>+'NEW Fall CHP by DISC'!B29/15</f>
        <v>9.4</v>
      </c>
      <c r="C29" s="154">
        <f>+'NEW Fall CHP by DISC'!C29/15</f>
        <v>20.666666666666668</v>
      </c>
      <c r="D29" s="154">
        <f>+'NEW Fall CHP by DISC'!D29/12</f>
        <v>0</v>
      </c>
      <c r="E29" s="745">
        <f t="shared" ref="E29:E36" si="19">SUM(B29:D29)</f>
        <v>30.06666666666667</v>
      </c>
      <c r="F29" s="154">
        <f>+'NEW Fall CHP by DISC'!F29/15</f>
        <v>9</v>
      </c>
      <c r="G29" s="154">
        <f>+'NEW Fall CHP by DISC'!G29/15</f>
        <v>23.2</v>
      </c>
      <c r="H29" s="154">
        <f>+'NEW Fall CHP by DISC'!H29/12</f>
        <v>0</v>
      </c>
      <c r="I29" s="154">
        <f t="shared" ref="I29:I36" si="20">SUM(F29:H29)</f>
        <v>32.200000000000003</v>
      </c>
      <c r="J29" s="602">
        <f t="shared" ref="J29:J37" si="21">IF(E29&gt;0,(I29-E29)/E29,(IF(I29=0,"N/A",100%)))</f>
        <v>7.0953436807095316E-2</v>
      </c>
      <c r="K29" s="154">
        <f>+'NEW Fall CHP by DISC'!K29/15</f>
        <v>9.4</v>
      </c>
      <c r="L29" s="154">
        <f>+'NEW Fall CHP by DISC'!L29/15</f>
        <v>27.2</v>
      </c>
      <c r="M29" s="154">
        <f>+'NEW Fall CHP by DISC'!M29/12</f>
        <v>0</v>
      </c>
      <c r="N29" s="154">
        <f t="shared" ref="N29:N36" si="22">SUM(K29:M29)</f>
        <v>36.6</v>
      </c>
      <c r="O29" s="602">
        <f t="shared" ref="O29:O37" si="23">IF(I29&gt;0,(N29-I29)/I29,(IF(N29=0,"N/A",100%)))</f>
        <v>0.13664596273291921</v>
      </c>
      <c r="P29" s="154">
        <f>+'NEW Fall CHP by DISC'!P29/15</f>
        <v>8.4</v>
      </c>
      <c r="Q29" s="154">
        <f>+'NEW Fall CHP by DISC'!Q29/15</f>
        <v>16.8</v>
      </c>
      <c r="R29" s="154">
        <f>+'NEW Fall CHP by DISC'!R29/12</f>
        <v>0</v>
      </c>
      <c r="S29" s="154">
        <f t="shared" ref="S29:S36" si="24">SUM(P29:R29)</f>
        <v>25.200000000000003</v>
      </c>
      <c r="T29" s="602">
        <f t="shared" ref="T29:T37" si="25">IF(N29&gt;0,(S29-N29)/N29,(IF(S29=0,"N/A",100%)))</f>
        <v>-0.31147540983606553</v>
      </c>
      <c r="U29" s="154">
        <f>+'NEW Fall CHP by DISC'!U29/15</f>
        <v>7.4</v>
      </c>
      <c r="V29" s="154">
        <f>+'NEW Fall CHP by DISC'!V29/15</f>
        <v>17.466666666666665</v>
      </c>
      <c r="W29" s="154">
        <f>+'NEW Fall CHP by DISC'!W29/12</f>
        <v>0</v>
      </c>
      <c r="X29" s="154">
        <f t="shared" ref="X29:X36" si="26">SUM(U29:W29)</f>
        <v>24.866666666666667</v>
      </c>
      <c r="Y29" s="602">
        <f t="shared" ref="Y29:Y37" si="27">IF(S29&gt;0,(X29-S29)/S29,(IF(X29=0,"N/A",100%)))</f>
        <v>-1.322751322751332E-2</v>
      </c>
      <c r="Z29" s="154">
        <f>+'NEW Fall CHP by DISC'!Z29/15</f>
        <v>10.4</v>
      </c>
      <c r="AA29" s="154">
        <f>+'NEW Fall CHP by DISC'!AA29/15</f>
        <v>20.066666666666666</v>
      </c>
      <c r="AB29" s="154">
        <f>+'NEW Fall CHP by DISC'!AB29/12</f>
        <v>0</v>
      </c>
      <c r="AC29" s="154">
        <f t="shared" ref="AC29:AC36" si="28">SUM(Z29:AB29)</f>
        <v>30.466666666666669</v>
      </c>
      <c r="AD29" s="600">
        <f t="shared" ref="AD29:AD37" si="29">IF(X29&gt;0,(AC29-X29)/X29,(IF(AC29=0,"N/A",100%)))</f>
        <v>0.22520107238605902</v>
      </c>
      <c r="AE29" s="328"/>
      <c r="AF29" s="328"/>
      <c r="AG29" s="328"/>
      <c r="AH29" s="328"/>
      <c r="AI29" s="328"/>
      <c r="AJ29" s="328"/>
      <c r="AK29" s="328"/>
      <c r="AL29" s="328"/>
    </row>
    <row r="30" spans="1:38" x14ac:dyDescent="0.25">
      <c r="A30" s="566" t="s">
        <v>972</v>
      </c>
      <c r="B30" s="154">
        <f>+'NEW Fall CHP by DISC'!B30/15</f>
        <v>54.833333333333336</v>
      </c>
      <c r="C30" s="154">
        <f>+'NEW Fall CHP by DISC'!C30/15</f>
        <v>58.43333333333333</v>
      </c>
      <c r="D30" s="154">
        <f>+'NEW Fall CHP by DISC'!D30/12</f>
        <v>14.25</v>
      </c>
      <c r="E30" s="375">
        <f t="shared" si="19"/>
        <v>127.51666666666667</v>
      </c>
      <c r="F30" s="154">
        <f>+'NEW Fall CHP by DISC'!F30/15</f>
        <v>53</v>
      </c>
      <c r="G30" s="154">
        <f>+'NEW Fall CHP by DISC'!G30/15</f>
        <v>56.733333333333334</v>
      </c>
      <c r="H30" s="154">
        <f>+'NEW Fall CHP by DISC'!H30/12</f>
        <v>17.5</v>
      </c>
      <c r="I30" s="154">
        <f t="shared" si="20"/>
        <v>127.23333333333333</v>
      </c>
      <c r="J30" s="602">
        <f t="shared" si="21"/>
        <v>-2.2219317736243481E-3</v>
      </c>
      <c r="K30" s="154">
        <f>+'NEW Fall CHP by DISC'!K30/15</f>
        <v>57.366666666666667</v>
      </c>
      <c r="L30" s="154">
        <f>+'NEW Fall CHP by DISC'!L30/15</f>
        <v>58.9</v>
      </c>
      <c r="M30" s="154">
        <f>+'NEW Fall CHP by DISC'!M30/12</f>
        <v>7.25</v>
      </c>
      <c r="N30" s="154">
        <f t="shared" si="22"/>
        <v>123.51666666666667</v>
      </c>
      <c r="O30" s="602">
        <f t="shared" si="23"/>
        <v>-2.9211422583180522E-2</v>
      </c>
      <c r="P30" s="154">
        <f>+'NEW Fall CHP by DISC'!P30/15</f>
        <v>68.13333333333334</v>
      </c>
      <c r="Q30" s="154">
        <f>+'NEW Fall CHP by DISC'!Q30/15</f>
        <v>59.2</v>
      </c>
      <c r="R30" s="154">
        <f>+'NEW Fall CHP by DISC'!R30/12</f>
        <v>8.5</v>
      </c>
      <c r="S30" s="154">
        <f t="shared" si="24"/>
        <v>135.83333333333334</v>
      </c>
      <c r="T30" s="602">
        <f t="shared" si="25"/>
        <v>9.971663743084612E-2</v>
      </c>
      <c r="U30" s="154">
        <f>+'NEW Fall CHP by DISC'!U30/15</f>
        <v>69.599999999999994</v>
      </c>
      <c r="V30" s="154">
        <f>+'NEW Fall CHP by DISC'!V30/15</f>
        <v>57.866666666666667</v>
      </c>
      <c r="W30" s="154">
        <f>+'NEW Fall CHP by DISC'!W30/12</f>
        <v>6</v>
      </c>
      <c r="X30" s="154">
        <f t="shared" si="26"/>
        <v>133.46666666666667</v>
      </c>
      <c r="Y30" s="602">
        <f t="shared" si="27"/>
        <v>-1.7423312883435637E-2</v>
      </c>
      <c r="Z30" s="154">
        <f>+'NEW Fall CHP by DISC'!Z30/15</f>
        <v>54.733333333333334</v>
      </c>
      <c r="AA30" s="154">
        <f>+'NEW Fall CHP by DISC'!AA30/15</f>
        <v>60</v>
      </c>
      <c r="AB30" s="154">
        <f>+'NEW Fall CHP by DISC'!AB30/12</f>
        <v>13.5</v>
      </c>
      <c r="AC30" s="154">
        <f t="shared" si="28"/>
        <v>128.23333333333335</v>
      </c>
      <c r="AD30" s="600">
        <f t="shared" si="29"/>
        <v>-3.9210789210789111E-2</v>
      </c>
      <c r="AE30" s="328"/>
      <c r="AF30" s="328"/>
      <c r="AG30" s="328"/>
      <c r="AH30" s="328"/>
      <c r="AI30" s="328"/>
      <c r="AJ30" s="328"/>
      <c r="AK30" s="328"/>
      <c r="AL30" s="328"/>
    </row>
    <row r="31" spans="1:38" x14ac:dyDescent="0.25">
      <c r="A31" s="566" t="s">
        <v>973</v>
      </c>
      <c r="B31" s="154">
        <f>+'NEW Fall CHP by DISC'!B31/15</f>
        <v>0</v>
      </c>
      <c r="C31" s="154">
        <f>+'NEW Fall CHP by DISC'!C31/15</f>
        <v>0</v>
      </c>
      <c r="D31" s="154">
        <f>+'NEW Fall CHP by DISC'!D31/12</f>
        <v>0</v>
      </c>
      <c r="E31" s="375">
        <f t="shared" si="19"/>
        <v>0</v>
      </c>
      <c r="F31" s="154">
        <f>+'NEW Fall CHP by DISC'!F31/15</f>
        <v>0</v>
      </c>
      <c r="G31" s="154">
        <f>+'NEW Fall CHP by DISC'!G31/15</f>
        <v>0</v>
      </c>
      <c r="H31" s="154">
        <f>+'NEW Fall CHP by DISC'!H31/12</f>
        <v>0</v>
      </c>
      <c r="I31" s="154">
        <f t="shared" si="20"/>
        <v>0</v>
      </c>
      <c r="J31" s="602" t="str">
        <f t="shared" si="21"/>
        <v>N/A</v>
      </c>
      <c r="K31" s="154">
        <f>+'NEW Fall CHP by DISC'!K31/15</f>
        <v>0</v>
      </c>
      <c r="L31" s="154">
        <f>+'NEW Fall CHP by DISC'!L31/15</f>
        <v>0</v>
      </c>
      <c r="M31" s="154">
        <f>+'NEW Fall CHP by DISC'!M31/12</f>
        <v>0</v>
      </c>
      <c r="N31" s="154">
        <f t="shared" si="22"/>
        <v>0</v>
      </c>
      <c r="O31" s="602" t="str">
        <f t="shared" si="23"/>
        <v>N/A</v>
      </c>
      <c r="P31" s="154">
        <f>+'NEW Fall CHP by DISC'!P31/15</f>
        <v>0</v>
      </c>
      <c r="Q31" s="154">
        <f>+'NEW Fall CHP by DISC'!Q31/15</f>
        <v>0</v>
      </c>
      <c r="R31" s="154">
        <f>+'NEW Fall CHP by DISC'!R31/12</f>
        <v>0</v>
      </c>
      <c r="S31" s="154">
        <f t="shared" si="24"/>
        <v>0</v>
      </c>
      <c r="T31" s="602" t="str">
        <f t="shared" si="25"/>
        <v>N/A</v>
      </c>
      <c r="U31" s="154">
        <f>+'NEW Fall CHP by DISC'!U31/15</f>
        <v>0</v>
      </c>
      <c r="V31" s="154">
        <f>+'NEW Fall CHP by DISC'!V31/15</f>
        <v>0</v>
      </c>
      <c r="W31" s="154">
        <f>+'NEW Fall CHP by DISC'!W31/12</f>
        <v>0</v>
      </c>
      <c r="X31" s="154">
        <f t="shared" si="26"/>
        <v>0</v>
      </c>
      <c r="Y31" s="602" t="str">
        <f t="shared" si="27"/>
        <v>N/A</v>
      </c>
      <c r="Z31" s="154">
        <f>+'NEW Fall CHP by DISC'!Z31/15</f>
        <v>0</v>
      </c>
      <c r="AA31" s="154">
        <f>+'NEW Fall CHP by DISC'!AA31/15</f>
        <v>0</v>
      </c>
      <c r="AB31" s="154">
        <f>+'NEW Fall CHP by DISC'!AB31/12</f>
        <v>2.75</v>
      </c>
      <c r="AC31" s="154">
        <f t="shared" si="28"/>
        <v>2.75</v>
      </c>
      <c r="AD31" s="600">
        <f t="shared" si="29"/>
        <v>1</v>
      </c>
      <c r="AE31" s="328"/>
      <c r="AF31" s="328"/>
      <c r="AG31" s="328"/>
      <c r="AH31" s="328"/>
      <c r="AI31" s="328"/>
      <c r="AJ31" s="328"/>
      <c r="AK31" s="328"/>
      <c r="AL31" s="328"/>
    </row>
    <row r="32" spans="1:38" x14ac:dyDescent="0.25">
      <c r="A32" s="979" t="s">
        <v>1405</v>
      </c>
      <c r="B32" s="154">
        <f>+'NEW Fall CHP by DISC'!B32/15</f>
        <v>0</v>
      </c>
      <c r="C32" s="154">
        <f>+'NEW Fall CHP by DISC'!C32/15</f>
        <v>0</v>
      </c>
      <c r="D32" s="154">
        <f>+'NEW Fall CHP by DISC'!D32/12</f>
        <v>0</v>
      </c>
      <c r="E32" s="375">
        <f t="shared" si="19"/>
        <v>0</v>
      </c>
      <c r="F32" s="154">
        <f>+'NEW Fall CHP by DISC'!F32/15</f>
        <v>0</v>
      </c>
      <c r="G32" s="154">
        <f>+'NEW Fall CHP by DISC'!G32/15</f>
        <v>0</v>
      </c>
      <c r="H32" s="154">
        <f>+'NEW Fall CHP by DISC'!H32/12</f>
        <v>0</v>
      </c>
      <c r="I32" s="154">
        <f>SUM(F32:H32)</f>
        <v>0</v>
      </c>
      <c r="J32" s="602" t="str">
        <f>IF(E32&gt;0,(I32-E32)/E32,(IF(I32=0,"N/A",100%)))</f>
        <v>N/A</v>
      </c>
      <c r="K32" s="154">
        <f>+'NEW Fall CHP by DISC'!K32/15</f>
        <v>0</v>
      </c>
      <c r="L32" s="154">
        <f>+'NEW Fall CHP by DISC'!L32/15</f>
        <v>0</v>
      </c>
      <c r="M32" s="154">
        <f>+'NEW Fall CHP by DISC'!M32/12</f>
        <v>0</v>
      </c>
      <c r="N32" s="154">
        <f>SUM(K32:M32)</f>
        <v>0</v>
      </c>
      <c r="O32" s="602" t="str">
        <f>IF(I32&gt;0,(N32-I32)/I32,(IF(N32=0,"N/A",100%)))</f>
        <v>N/A</v>
      </c>
      <c r="P32" s="154">
        <f>+'NEW Fall CHP by DISC'!P32/15</f>
        <v>0</v>
      </c>
      <c r="Q32" s="154">
        <f>+'NEW Fall CHP by DISC'!Q32/15</f>
        <v>0</v>
      </c>
      <c r="R32" s="154">
        <f>+'NEW Fall CHP by DISC'!R32/12</f>
        <v>0</v>
      </c>
      <c r="S32" s="154">
        <f t="shared" si="24"/>
        <v>0</v>
      </c>
      <c r="T32" s="602" t="str">
        <f t="shared" si="25"/>
        <v>N/A</v>
      </c>
      <c r="U32" s="154">
        <f>+'NEW Fall CHP by DISC'!U32/15</f>
        <v>0</v>
      </c>
      <c r="V32" s="154">
        <f>+'NEW Fall CHP by DISC'!V32/15</f>
        <v>0</v>
      </c>
      <c r="W32" s="154">
        <f>+'NEW Fall CHP by DISC'!W32/12</f>
        <v>0</v>
      </c>
      <c r="X32" s="154">
        <f t="shared" si="26"/>
        <v>0</v>
      </c>
      <c r="Y32" s="602" t="str">
        <f t="shared" si="27"/>
        <v>N/A</v>
      </c>
      <c r="Z32" s="154">
        <f>+'NEW Fall CHP by DISC'!Z32/15</f>
        <v>0</v>
      </c>
      <c r="AA32" s="154">
        <f>+'NEW Fall CHP by DISC'!AA32/15</f>
        <v>0</v>
      </c>
      <c r="AB32" s="154">
        <f>+'NEW Fall CHP by DISC'!AB32/12</f>
        <v>0</v>
      </c>
      <c r="AC32" s="154">
        <f t="shared" si="28"/>
        <v>0</v>
      </c>
      <c r="AD32" s="600" t="str">
        <f t="shared" si="29"/>
        <v>N/A</v>
      </c>
      <c r="AE32" s="328"/>
      <c r="AF32" s="328"/>
      <c r="AG32" s="328"/>
      <c r="AH32" s="328"/>
      <c r="AI32" s="328"/>
      <c r="AJ32" s="328"/>
      <c r="AK32" s="328"/>
      <c r="AL32" s="328"/>
    </row>
    <row r="33" spans="1:256" x14ac:dyDescent="0.25">
      <c r="A33" s="979" t="s">
        <v>1406</v>
      </c>
      <c r="B33" s="154">
        <f>+'NEW Fall CHP by DISC'!B33/15</f>
        <v>0</v>
      </c>
      <c r="C33" s="154">
        <f>+'NEW Fall CHP by DISC'!C33/15</f>
        <v>0</v>
      </c>
      <c r="D33" s="154">
        <f>+'NEW Fall CHP by DISC'!D33/12</f>
        <v>0</v>
      </c>
      <c r="E33" s="375">
        <f t="shared" si="19"/>
        <v>0</v>
      </c>
      <c r="F33" s="154">
        <f>+'NEW Fall CHP by DISC'!F33/15</f>
        <v>0</v>
      </c>
      <c r="G33" s="154">
        <f>+'NEW Fall CHP by DISC'!G33/15</f>
        <v>0</v>
      </c>
      <c r="H33" s="154">
        <f>+'NEW Fall CHP by DISC'!H33/12</f>
        <v>0</v>
      </c>
      <c r="I33" s="154">
        <f>SUM(F33:H33)</f>
        <v>0</v>
      </c>
      <c r="J33" s="602" t="str">
        <f>IF(E33&gt;0,(I33-E33)/E33,(IF(I33=0,"N/A",100%)))</f>
        <v>N/A</v>
      </c>
      <c r="K33" s="154">
        <f>+'NEW Fall CHP by DISC'!K33/15</f>
        <v>0</v>
      </c>
      <c r="L33" s="154">
        <f>+'NEW Fall CHP by DISC'!L33/15</f>
        <v>0</v>
      </c>
      <c r="M33" s="154">
        <f>+'NEW Fall CHP by DISC'!M33/12</f>
        <v>0</v>
      </c>
      <c r="N33" s="154">
        <f>SUM(K33:M33)</f>
        <v>0</v>
      </c>
      <c r="O33" s="602" t="str">
        <f>IF(I33&gt;0,(N33-I33)/I33,(IF(N33=0,"N/A",100%)))</f>
        <v>N/A</v>
      </c>
      <c r="P33" s="154">
        <f>+'NEW Fall CHP by DISC'!P33/15</f>
        <v>0</v>
      </c>
      <c r="Q33" s="154">
        <f>+'NEW Fall CHP by DISC'!Q33/15</f>
        <v>0</v>
      </c>
      <c r="R33" s="154">
        <f>+'NEW Fall CHP by DISC'!R33/12</f>
        <v>0</v>
      </c>
      <c r="S33" s="154">
        <f t="shared" si="24"/>
        <v>0</v>
      </c>
      <c r="T33" s="602" t="str">
        <f t="shared" si="25"/>
        <v>N/A</v>
      </c>
      <c r="U33" s="154">
        <f>+'NEW Fall CHP by DISC'!U33/15</f>
        <v>0</v>
      </c>
      <c r="V33" s="154">
        <f>+'NEW Fall CHP by DISC'!V33/15</f>
        <v>0</v>
      </c>
      <c r="W33" s="154">
        <f>+'NEW Fall CHP by DISC'!W33/12</f>
        <v>0</v>
      </c>
      <c r="X33" s="154">
        <f t="shared" si="26"/>
        <v>0</v>
      </c>
      <c r="Y33" s="602" t="str">
        <f t="shared" si="27"/>
        <v>N/A</v>
      </c>
      <c r="Z33" s="154">
        <f>+'NEW Fall CHP by DISC'!Z33/15</f>
        <v>0</v>
      </c>
      <c r="AA33" s="154">
        <f>+'NEW Fall CHP by DISC'!AA33/15</f>
        <v>0</v>
      </c>
      <c r="AB33" s="154">
        <f>+'NEW Fall CHP by DISC'!AB33/12</f>
        <v>0</v>
      </c>
      <c r="AC33" s="154">
        <f t="shared" si="28"/>
        <v>0</v>
      </c>
      <c r="AD33" s="600" t="str">
        <f t="shared" si="29"/>
        <v>N/A</v>
      </c>
      <c r="AE33" s="328"/>
      <c r="AF33" s="328"/>
      <c r="AG33" s="328"/>
      <c r="AH33" s="328"/>
      <c r="AI33" s="328"/>
      <c r="AJ33" s="328"/>
      <c r="AK33" s="328"/>
      <c r="AL33" s="328"/>
    </row>
    <row r="34" spans="1:256" x14ac:dyDescent="0.25">
      <c r="A34" s="979" t="s">
        <v>1097</v>
      </c>
      <c r="B34" s="154">
        <f>+'NEW Fall CHP by DISC'!B34/15</f>
        <v>0</v>
      </c>
      <c r="C34" s="154">
        <f>+'NEW Fall CHP by DISC'!C34/15</f>
        <v>0</v>
      </c>
      <c r="D34" s="154">
        <f>+'NEW Fall CHP by DISC'!D34/12</f>
        <v>0</v>
      </c>
      <c r="E34" s="375">
        <f t="shared" si="19"/>
        <v>0</v>
      </c>
      <c r="F34" s="154">
        <f>+'NEW Fall CHP by DISC'!F34/15</f>
        <v>0</v>
      </c>
      <c r="G34" s="154">
        <f>+'NEW Fall CHP by DISC'!G34/15</f>
        <v>4.8</v>
      </c>
      <c r="H34" s="154">
        <f>+'NEW Fall CHP by DISC'!H34/12</f>
        <v>6</v>
      </c>
      <c r="I34" s="154">
        <f t="shared" si="20"/>
        <v>10.8</v>
      </c>
      <c r="J34" s="602">
        <f>IF(E34&gt;0,(I34-E34)/E34,(IF(I34=0,"N/A",100%)))</f>
        <v>1</v>
      </c>
      <c r="K34" s="154">
        <f>+'NEW Fall CHP by DISC'!K34/15</f>
        <v>0</v>
      </c>
      <c r="L34" s="154">
        <f>+'NEW Fall CHP by DISC'!L34/15</f>
        <v>3</v>
      </c>
      <c r="M34" s="154">
        <f>+'NEW Fall CHP by DISC'!M34/12</f>
        <v>6.5</v>
      </c>
      <c r="N34" s="154">
        <f t="shared" si="22"/>
        <v>9.5</v>
      </c>
      <c r="O34" s="602">
        <f>IF(I34&gt;0,(N34-I34)/I34,(IF(N34=0,"N/A",100%)))</f>
        <v>-0.12037037037037043</v>
      </c>
      <c r="P34" s="154">
        <f>+'NEW Fall CHP by DISC'!P34/15</f>
        <v>0</v>
      </c>
      <c r="Q34" s="154">
        <f>+'NEW Fall CHP by DISC'!Q34/15</f>
        <v>1.8</v>
      </c>
      <c r="R34" s="154">
        <f>+'NEW Fall CHP by DISC'!R34/12</f>
        <v>16</v>
      </c>
      <c r="S34" s="154">
        <f t="shared" si="24"/>
        <v>17.8</v>
      </c>
      <c r="T34" s="602">
        <f t="shared" si="25"/>
        <v>0.87368421052631584</v>
      </c>
      <c r="U34" s="154">
        <f>+'NEW Fall CHP by DISC'!U34/15</f>
        <v>0</v>
      </c>
      <c r="V34" s="154">
        <f>+'NEW Fall CHP by DISC'!V34/15</f>
        <v>1.8</v>
      </c>
      <c r="W34" s="154">
        <f>+'NEW Fall CHP by DISC'!W34/12</f>
        <v>3.25</v>
      </c>
      <c r="X34" s="154">
        <f t="shared" si="26"/>
        <v>5.05</v>
      </c>
      <c r="Y34" s="602">
        <f t="shared" si="27"/>
        <v>-0.71629213483146059</v>
      </c>
      <c r="Z34" s="154">
        <f>+'NEW Fall CHP by DISC'!Z34/15</f>
        <v>0</v>
      </c>
      <c r="AA34" s="154">
        <f>+'NEW Fall CHP by DISC'!AA34/15</f>
        <v>3.4</v>
      </c>
      <c r="AB34" s="154">
        <f>+'NEW Fall CHP by DISC'!AB34/12</f>
        <v>8.5</v>
      </c>
      <c r="AC34" s="154">
        <f t="shared" si="28"/>
        <v>11.9</v>
      </c>
      <c r="AD34" s="600">
        <f t="shared" si="29"/>
        <v>1.3564356435643565</v>
      </c>
      <c r="AE34" s="328"/>
      <c r="AF34" s="328"/>
      <c r="AG34" s="328"/>
      <c r="AH34" s="328"/>
      <c r="AI34" s="328"/>
      <c r="AJ34" s="328"/>
      <c r="AK34" s="328"/>
      <c r="AL34" s="328"/>
    </row>
    <row r="35" spans="1:256" x14ac:dyDescent="0.25">
      <c r="A35" s="566" t="s">
        <v>974</v>
      </c>
      <c r="B35" s="154">
        <f>+'NEW Fall CHP by DISC'!B35/15</f>
        <v>10.8</v>
      </c>
      <c r="C35" s="154">
        <f>+'NEW Fall CHP by DISC'!C35/15</f>
        <v>6.0666666666666664</v>
      </c>
      <c r="D35" s="154">
        <f>+'NEW Fall CHP by DISC'!D35/12</f>
        <v>0</v>
      </c>
      <c r="E35" s="375">
        <f t="shared" si="19"/>
        <v>16.866666666666667</v>
      </c>
      <c r="F35" s="154">
        <f>+'NEW Fall CHP by DISC'!F35/15</f>
        <v>11.2</v>
      </c>
      <c r="G35" s="154">
        <f>+'NEW Fall CHP by DISC'!G35/15</f>
        <v>10.933333333333334</v>
      </c>
      <c r="H35" s="154">
        <f>+'NEW Fall CHP by DISC'!H35/12</f>
        <v>0</v>
      </c>
      <c r="I35" s="154">
        <f t="shared" si="20"/>
        <v>22.133333333333333</v>
      </c>
      <c r="J35" s="602">
        <f t="shared" si="21"/>
        <v>0.31225296442687739</v>
      </c>
      <c r="K35" s="154">
        <f>+'NEW Fall CHP by DISC'!K35/15</f>
        <v>17</v>
      </c>
      <c r="L35" s="154">
        <f>+'NEW Fall CHP by DISC'!L35/15</f>
        <v>5.8666666666666663</v>
      </c>
      <c r="M35" s="154">
        <f>+'NEW Fall CHP by DISC'!M35/12</f>
        <v>0</v>
      </c>
      <c r="N35" s="154">
        <f t="shared" si="22"/>
        <v>22.866666666666667</v>
      </c>
      <c r="O35" s="602">
        <f t="shared" si="23"/>
        <v>3.3132530120481972E-2</v>
      </c>
      <c r="P35" s="154">
        <f>+'NEW Fall CHP by DISC'!P35/15</f>
        <v>20</v>
      </c>
      <c r="Q35" s="154">
        <f>+'NEW Fall CHP by DISC'!Q35/15</f>
        <v>7.6</v>
      </c>
      <c r="R35" s="154">
        <f>+'NEW Fall CHP by DISC'!R35/12</f>
        <v>0</v>
      </c>
      <c r="S35" s="154">
        <f t="shared" si="24"/>
        <v>27.6</v>
      </c>
      <c r="T35" s="602">
        <f t="shared" si="25"/>
        <v>0.206997084548105</v>
      </c>
      <c r="U35" s="154">
        <f>+'NEW Fall CHP by DISC'!U35/15</f>
        <v>20</v>
      </c>
      <c r="V35" s="154">
        <f>+'NEW Fall CHP by DISC'!V35/15</f>
        <v>10.933333333333334</v>
      </c>
      <c r="W35" s="154">
        <f>+'NEW Fall CHP by DISC'!W35/12</f>
        <v>0</v>
      </c>
      <c r="X35" s="154">
        <f t="shared" si="26"/>
        <v>30.933333333333334</v>
      </c>
      <c r="Y35" s="602">
        <f t="shared" si="27"/>
        <v>0.12077294685990334</v>
      </c>
      <c r="Z35" s="154">
        <f>+'NEW Fall CHP by DISC'!Z35/15</f>
        <v>16.399999999999999</v>
      </c>
      <c r="AA35" s="154">
        <f>+'NEW Fall CHP by DISC'!AA35/15</f>
        <v>7.7333333333333334</v>
      </c>
      <c r="AB35" s="154">
        <f>+'NEW Fall CHP by DISC'!AB35/12</f>
        <v>0</v>
      </c>
      <c r="AC35" s="154">
        <f t="shared" si="28"/>
        <v>24.133333333333333</v>
      </c>
      <c r="AD35" s="600">
        <f t="shared" si="29"/>
        <v>-0.21982758620689657</v>
      </c>
      <c r="AE35" s="328"/>
      <c r="AF35" s="328"/>
      <c r="AG35" s="328"/>
      <c r="AH35" s="328"/>
      <c r="AI35" s="328"/>
      <c r="AJ35" s="328"/>
      <c r="AK35" s="328"/>
      <c r="AL35" s="328"/>
    </row>
    <row r="36" spans="1:256" x14ac:dyDescent="0.25">
      <c r="A36" s="566" t="s">
        <v>975</v>
      </c>
      <c r="B36" s="154">
        <f>+'NEW Fall CHP by DISC'!B36/15</f>
        <v>0.6</v>
      </c>
      <c r="C36" s="154">
        <f>+'NEW Fall CHP by DISC'!C36/15</f>
        <v>0</v>
      </c>
      <c r="D36" s="154">
        <f>+'NEW Fall CHP by DISC'!D36/12</f>
        <v>0</v>
      </c>
      <c r="E36" s="375">
        <f t="shared" si="19"/>
        <v>0.6</v>
      </c>
      <c r="F36" s="154">
        <f>+'NEW Fall CHP by DISC'!F36/15</f>
        <v>1.2666666666666666</v>
      </c>
      <c r="G36" s="154">
        <f>+'NEW Fall CHP by DISC'!G36/15</f>
        <v>1.4666666666666666</v>
      </c>
      <c r="H36" s="154">
        <f>+'NEW Fall CHP by DISC'!H36/12</f>
        <v>0</v>
      </c>
      <c r="I36" s="154">
        <f t="shared" si="20"/>
        <v>2.7333333333333334</v>
      </c>
      <c r="J36" s="602">
        <f t="shared" si="21"/>
        <v>3.5555555555555558</v>
      </c>
      <c r="K36" s="154">
        <f>+'NEW Fall CHP by DISC'!K36/15</f>
        <v>0.6</v>
      </c>
      <c r="L36" s="154">
        <f>+'NEW Fall CHP by DISC'!L36/15</f>
        <v>1.1333333333333333</v>
      </c>
      <c r="M36" s="154">
        <f>+'NEW Fall CHP by DISC'!M36/12</f>
        <v>0</v>
      </c>
      <c r="N36" s="154">
        <f t="shared" si="22"/>
        <v>1.7333333333333334</v>
      </c>
      <c r="O36" s="602">
        <f t="shared" si="23"/>
        <v>-0.36585365853658536</v>
      </c>
      <c r="P36" s="154">
        <f>+'NEW Fall CHP by DISC'!P36/15</f>
        <v>1</v>
      </c>
      <c r="Q36" s="154">
        <f>+'NEW Fall CHP by DISC'!Q36/15</f>
        <v>0.93333333333333335</v>
      </c>
      <c r="R36" s="154">
        <f>+'NEW Fall CHP by DISC'!R36/12</f>
        <v>0</v>
      </c>
      <c r="S36" s="154">
        <f t="shared" si="24"/>
        <v>1.9333333333333333</v>
      </c>
      <c r="T36" s="602">
        <f t="shared" si="25"/>
        <v>0.11538461538461535</v>
      </c>
      <c r="U36" s="154">
        <f>+'NEW Fall CHP by DISC'!U36/15</f>
        <v>1.3333333333333333</v>
      </c>
      <c r="V36" s="154">
        <f>+'NEW Fall CHP by DISC'!V36/15</f>
        <v>0.8666666666666667</v>
      </c>
      <c r="W36" s="154">
        <f>+'NEW Fall CHP by DISC'!W36/12</f>
        <v>0</v>
      </c>
      <c r="X36" s="154">
        <f t="shared" si="26"/>
        <v>2.2000000000000002</v>
      </c>
      <c r="Y36" s="602">
        <f t="shared" si="27"/>
        <v>0.1379310344827587</v>
      </c>
      <c r="Z36" s="154">
        <f>+'NEW Fall CHP by DISC'!Z36/15</f>
        <v>1.4666666666666666</v>
      </c>
      <c r="AA36" s="154">
        <f>+'NEW Fall CHP by DISC'!AA36/15</f>
        <v>1</v>
      </c>
      <c r="AB36" s="154">
        <f>+'NEW Fall CHP by DISC'!AB36/12</f>
        <v>0</v>
      </c>
      <c r="AC36" s="154">
        <f t="shared" si="28"/>
        <v>2.4666666666666668</v>
      </c>
      <c r="AD36" s="600">
        <f t="shared" si="29"/>
        <v>0.12121212121212117</v>
      </c>
      <c r="AE36" s="328"/>
      <c r="AF36" s="328"/>
      <c r="AG36" s="328"/>
      <c r="AH36" s="328"/>
      <c r="AI36" s="328"/>
      <c r="AJ36" s="328"/>
      <c r="AK36" s="328"/>
      <c r="AL36" s="328"/>
    </row>
    <row r="37" spans="1:256" s="575" customFormat="1" ht="13.8" x14ac:dyDescent="0.25">
      <c r="A37" s="641" t="s">
        <v>961</v>
      </c>
      <c r="B37" s="585">
        <f t="shared" ref="B37:I37" si="30">SUM(B29:B36)</f>
        <v>75.633333333333326</v>
      </c>
      <c r="C37" s="586">
        <f t="shared" si="30"/>
        <v>85.166666666666657</v>
      </c>
      <c r="D37" s="586">
        <f t="shared" si="30"/>
        <v>14.25</v>
      </c>
      <c r="E37" s="587">
        <f t="shared" si="30"/>
        <v>175.05</v>
      </c>
      <c r="F37" s="585">
        <f t="shared" si="30"/>
        <v>74.466666666666669</v>
      </c>
      <c r="G37" s="586">
        <f t="shared" si="30"/>
        <v>97.13333333333334</v>
      </c>
      <c r="H37" s="586">
        <f t="shared" si="30"/>
        <v>23.5</v>
      </c>
      <c r="I37" s="586">
        <f t="shared" si="30"/>
        <v>195.1</v>
      </c>
      <c r="J37" s="588">
        <f t="shared" si="21"/>
        <v>0.11453870322764914</v>
      </c>
      <c r="K37" s="585">
        <f>SUM(K29:K36)</f>
        <v>84.36666666666666</v>
      </c>
      <c r="L37" s="586">
        <f>SUM(L29:L36)</f>
        <v>96.1</v>
      </c>
      <c r="M37" s="586">
        <f>SUM(M29:M36)</f>
        <v>13.75</v>
      </c>
      <c r="N37" s="586">
        <f>SUM(N29:N36)</f>
        <v>194.21666666666667</v>
      </c>
      <c r="O37" s="588">
        <f t="shared" si="23"/>
        <v>-4.52759268751064E-3</v>
      </c>
      <c r="P37" s="585">
        <f>SUM(P29:P36)</f>
        <v>97.533333333333346</v>
      </c>
      <c r="Q37" s="586">
        <f>SUM(Q29:Q36)</f>
        <v>86.333333333333329</v>
      </c>
      <c r="R37" s="586">
        <f>SUM(R29:R36)</f>
        <v>24.5</v>
      </c>
      <c r="S37" s="586">
        <f>SUM(S29:S36)</f>
        <v>208.3666666666667</v>
      </c>
      <c r="T37" s="588">
        <f t="shared" si="25"/>
        <v>7.2856775079378877E-2</v>
      </c>
      <c r="U37" s="585">
        <f>SUM(U29:U36)</f>
        <v>98.333333333333329</v>
      </c>
      <c r="V37" s="586">
        <f>SUM(V29:V36)</f>
        <v>88.933333333333323</v>
      </c>
      <c r="W37" s="586">
        <f>SUM(W29:W36)</f>
        <v>9.25</v>
      </c>
      <c r="X37" s="586">
        <f>SUM(X29:X36)</f>
        <v>196.51666666666668</v>
      </c>
      <c r="Y37" s="588">
        <f t="shared" si="27"/>
        <v>-5.6870900655895153E-2</v>
      </c>
      <c r="Z37" s="585">
        <f>SUM(Z29:Z36)</f>
        <v>83</v>
      </c>
      <c r="AA37" s="586">
        <f>SUM(AA29:AA36)</f>
        <v>92.2</v>
      </c>
      <c r="AB37" s="586">
        <f>SUM(AB29:AB36)</f>
        <v>24.75</v>
      </c>
      <c r="AC37" s="586">
        <f>SUM(AC29:AC36)</f>
        <v>199.95000000000002</v>
      </c>
      <c r="AD37" s="589">
        <f t="shared" si="29"/>
        <v>1.7470952421338327E-2</v>
      </c>
    </row>
    <row r="38" spans="1:256" x14ac:dyDescent="0.25">
      <c r="A38" s="576" t="s">
        <v>427</v>
      </c>
      <c r="B38" s="605"/>
      <c r="C38" s="578"/>
      <c r="D38" s="578"/>
      <c r="E38" s="518"/>
      <c r="F38" s="605"/>
      <c r="G38" s="578"/>
      <c r="H38" s="578"/>
      <c r="I38" s="578"/>
      <c r="J38" s="518"/>
      <c r="K38" s="605"/>
      <c r="L38" s="578"/>
      <c r="M38" s="578"/>
      <c r="N38" s="578"/>
      <c r="O38" s="518"/>
      <c r="P38" s="605"/>
      <c r="Q38" s="578"/>
      <c r="R38" s="578"/>
      <c r="S38" s="578"/>
      <c r="T38" s="518"/>
      <c r="U38" s="605"/>
      <c r="V38" s="578"/>
      <c r="W38" s="578"/>
      <c r="X38" s="578"/>
      <c r="Y38" s="518"/>
      <c r="Z38" s="605"/>
      <c r="AA38" s="578"/>
      <c r="AB38" s="578"/>
      <c r="AC38" s="578"/>
      <c r="AD38" s="599"/>
      <c r="AE38" s="328"/>
      <c r="AF38" s="328"/>
      <c r="AG38" s="328"/>
      <c r="AH38" s="328"/>
      <c r="AI38" s="328"/>
      <c r="AJ38" s="328"/>
      <c r="AK38" s="328"/>
      <c r="AL38" s="328"/>
    </row>
    <row r="39" spans="1:256" x14ac:dyDescent="0.25">
      <c r="A39" s="603" t="s">
        <v>1005</v>
      </c>
      <c r="B39" s="154">
        <f>+'NEW Fall CHP by DISC'!B39/15</f>
        <v>95.4</v>
      </c>
      <c r="C39" s="154">
        <f>+'NEW Fall CHP by DISC'!C39/15</f>
        <v>37.799999999999997</v>
      </c>
      <c r="D39" s="154">
        <f>+'NEW Fall CHP by DISC'!D39/12</f>
        <v>0</v>
      </c>
      <c r="E39" s="375">
        <f>SUM(B39:D39)</f>
        <v>133.19999999999999</v>
      </c>
      <c r="F39" s="154">
        <f>+'NEW Fall CHP by DISC'!F39/15</f>
        <v>103.26666666666667</v>
      </c>
      <c r="G39" s="154">
        <f>+'NEW Fall CHP by DISC'!G39/15</f>
        <v>44</v>
      </c>
      <c r="H39" s="154">
        <f>+'NEW Fall CHP by DISC'!H39/12</f>
        <v>0</v>
      </c>
      <c r="I39" s="581">
        <f>SUM(F39:H39)</f>
        <v>147.26666666666665</v>
      </c>
      <c r="J39" s="582">
        <f>IF(E39&gt;0,(I39-E39)/E39,(IF(I39=0,"N/A",100%)))</f>
        <v>0.10560560560560558</v>
      </c>
      <c r="K39" s="154">
        <f>+'NEW Fall CHP by DISC'!K39/15</f>
        <v>145.06666666666666</v>
      </c>
      <c r="L39" s="154">
        <f>+'NEW Fall CHP by DISC'!L39/15</f>
        <v>43.333333333333336</v>
      </c>
      <c r="M39" s="154">
        <f>+'NEW Fall CHP by DISC'!M39/12</f>
        <v>0</v>
      </c>
      <c r="N39" s="581">
        <f>SUM(K39:M39)</f>
        <v>188.4</v>
      </c>
      <c r="O39" s="582">
        <f>IF(I39&gt;0,(N39-I39)/I39,(IF(N39=0,"N/A",100%)))</f>
        <v>0.27931190583974669</v>
      </c>
      <c r="P39" s="154">
        <f>+'NEW Fall CHP by DISC'!P39/15</f>
        <v>125.4</v>
      </c>
      <c r="Q39" s="154">
        <f>+'NEW Fall CHP by DISC'!Q39/15</f>
        <v>56</v>
      </c>
      <c r="R39" s="154">
        <f>+'NEW Fall CHP by DISC'!R39/12</f>
        <v>0</v>
      </c>
      <c r="S39" s="581">
        <f>SUM(P39:R39)</f>
        <v>181.4</v>
      </c>
      <c r="T39" s="582">
        <f>IF(N39&gt;0,(S39-N39)/N39,(IF(S39=0,"N/A",100%)))</f>
        <v>-3.7154989384288746E-2</v>
      </c>
      <c r="U39" s="154">
        <f>+'NEW Fall CHP by DISC'!U39/15</f>
        <v>124.2</v>
      </c>
      <c r="V39" s="154">
        <f>+'NEW Fall CHP by DISC'!V39/15</f>
        <v>59.666666666666664</v>
      </c>
      <c r="W39" s="154">
        <f>+'NEW Fall CHP by DISC'!W39/12</f>
        <v>0</v>
      </c>
      <c r="X39" s="581">
        <f>SUM(U39:W39)</f>
        <v>183.86666666666667</v>
      </c>
      <c r="Y39" s="582">
        <f>IF(S39&gt;0,(X39-S39)/S39,(IF(X39=0,"N/A",100%)))</f>
        <v>1.3597941933112836E-2</v>
      </c>
      <c r="Z39" s="154">
        <f>+'NEW Fall CHP by DISC'!Z39/15</f>
        <v>122.2</v>
      </c>
      <c r="AA39" s="154">
        <f>+'NEW Fall CHP by DISC'!AA39/15</f>
        <v>64.2</v>
      </c>
      <c r="AB39" s="154">
        <f>+'NEW Fall CHP by DISC'!AB39/12</f>
        <v>0.5</v>
      </c>
      <c r="AC39" s="581">
        <f>SUM(Z39:AB39)</f>
        <v>186.9</v>
      </c>
      <c r="AD39" s="583">
        <f>IF(X39&gt;0,(AC39-X39)/X39,(IF(AC39=0,"N/A",100%)))</f>
        <v>1.6497461928934001E-2</v>
      </c>
      <c r="AE39" s="328"/>
      <c r="AF39" s="328"/>
      <c r="AG39" s="328"/>
      <c r="AH39" s="328"/>
      <c r="AI39" s="328"/>
      <c r="AJ39" s="328"/>
      <c r="AK39" s="328"/>
      <c r="AL39" s="328"/>
    </row>
    <row r="40" spans="1:256" x14ac:dyDescent="0.25">
      <c r="A40" s="576" t="s">
        <v>417</v>
      </c>
      <c r="B40" s="605"/>
      <c r="C40" s="578"/>
      <c r="D40" s="578"/>
      <c r="E40" s="518"/>
      <c r="F40" s="605"/>
      <c r="G40" s="578"/>
      <c r="H40" s="578"/>
      <c r="I40" s="578"/>
      <c r="J40" s="518"/>
      <c r="K40" s="605"/>
      <c r="L40" s="578"/>
      <c r="M40" s="578"/>
      <c r="N40" s="578"/>
      <c r="O40" s="518"/>
      <c r="P40" s="605"/>
      <c r="Q40" s="578"/>
      <c r="R40" s="578"/>
      <c r="S40" s="578"/>
      <c r="T40" s="518"/>
      <c r="U40" s="605"/>
      <c r="V40" s="578"/>
      <c r="W40" s="578"/>
      <c r="X40" s="578"/>
      <c r="Y40" s="518"/>
      <c r="Z40" s="605"/>
      <c r="AA40" s="578"/>
      <c r="AB40" s="578"/>
      <c r="AC40" s="578"/>
      <c r="AD40" s="599"/>
      <c r="AE40" s="328"/>
      <c r="AF40" s="328"/>
      <c r="AG40" s="328"/>
      <c r="AH40" s="328"/>
      <c r="AI40" s="328"/>
      <c r="AJ40" s="328"/>
      <c r="AK40" s="328"/>
      <c r="AL40" s="328"/>
    </row>
    <row r="41" spans="1:256" x14ac:dyDescent="0.25">
      <c r="A41" s="566" t="s">
        <v>959</v>
      </c>
      <c r="B41" s="154">
        <f>+'NEW Fall CHP by DISC'!B41/15</f>
        <v>79.86666666666666</v>
      </c>
      <c r="C41" s="154">
        <f>+'NEW Fall CHP by DISC'!C41/15</f>
        <v>52.06666666666667</v>
      </c>
      <c r="D41" s="154">
        <f>+'NEW Fall CHP by DISC'!D41/12</f>
        <v>0</v>
      </c>
      <c r="E41" s="375">
        <f>SUM(B41:D41)</f>
        <v>131.93333333333334</v>
      </c>
      <c r="F41" s="154">
        <f>+'NEW Fall CHP by DISC'!F41/15</f>
        <v>77.066666666666663</v>
      </c>
      <c r="G41" s="154">
        <f>+'NEW Fall CHP by DISC'!G41/15</f>
        <v>34.200000000000003</v>
      </c>
      <c r="H41" s="154">
        <f>+'NEW Fall CHP by DISC'!H41/12</f>
        <v>0</v>
      </c>
      <c r="I41" s="581">
        <f>SUM(F41:H41)</f>
        <v>111.26666666666667</v>
      </c>
      <c r="J41" s="582">
        <f>IF(E41&gt;0,(I41-E41)/E41,(IF(I41=0,"N/A",100%)))</f>
        <v>-0.156644770085902</v>
      </c>
      <c r="K41" s="154">
        <f>+'NEW Fall CHP by DISC'!K41/15</f>
        <v>81.933333333333337</v>
      </c>
      <c r="L41" s="154">
        <f>+'NEW Fall CHP by DISC'!L41/15</f>
        <v>37.733333333333334</v>
      </c>
      <c r="M41" s="154">
        <f>+'NEW Fall CHP by DISC'!M41/12</f>
        <v>0</v>
      </c>
      <c r="N41" s="581">
        <f>SUM(K41:M41)</f>
        <v>119.66666666666667</v>
      </c>
      <c r="O41" s="582">
        <f>IF(I41&gt;0,(N41-I41)/I41,(IF(N41=0,"N/A",100%)))</f>
        <v>7.5494307968843669E-2</v>
      </c>
      <c r="P41" s="154">
        <f>+'NEW Fall CHP by DISC'!P41/15</f>
        <v>110.33333333333333</v>
      </c>
      <c r="Q41" s="154">
        <f>+'NEW Fall CHP by DISC'!Q41/15</f>
        <v>34.466666666666669</v>
      </c>
      <c r="R41" s="154">
        <f>+'NEW Fall CHP by DISC'!R41/12</f>
        <v>0</v>
      </c>
      <c r="S41" s="581">
        <f>SUM(P41:R41)</f>
        <v>144.80000000000001</v>
      </c>
      <c r="T41" s="582">
        <f>IF(N41&gt;0,(S41-N41)/N41,(IF(S41=0,"N/A",100%)))</f>
        <v>0.21002785515320338</v>
      </c>
      <c r="U41" s="154">
        <f>+'NEW Fall CHP by DISC'!U41/15</f>
        <v>114.93333333333334</v>
      </c>
      <c r="V41" s="154">
        <f>+'NEW Fall CHP by DISC'!V41/15</f>
        <v>46.06666666666667</v>
      </c>
      <c r="W41" s="154">
        <f>+'NEW Fall CHP by DISC'!W41/12</f>
        <v>0</v>
      </c>
      <c r="X41" s="581">
        <f>SUM(U41:W41)</f>
        <v>161</v>
      </c>
      <c r="Y41" s="582">
        <f>IF(S41&gt;0,(X41-S41)/S41,(IF(X41=0,"N/A",100%)))</f>
        <v>0.11187845303867394</v>
      </c>
      <c r="Z41" s="154">
        <f>+'NEW Fall CHP by DISC'!Z41/15</f>
        <v>89.6</v>
      </c>
      <c r="AA41" s="154">
        <f>+'NEW Fall CHP by DISC'!AA41/15</f>
        <v>45.8</v>
      </c>
      <c r="AB41" s="154">
        <f>+'NEW Fall CHP by DISC'!AB41/12</f>
        <v>0</v>
      </c>
      <c r="AC41" s="581">
        <f>SUM(Z41:AB41)</f>
        <v>135.39999999999998</v>
      </c>
      <c r="AD41" s="583">
        <f>IF(X41&gt;0,(AC41-X41)/X41,(IF(AC41=0,"N/A",100%)))</f>
        <v>-0.15900621118012437</v>
      </c>
      <c r="AE41" s="328"/>
      <c r="AF41" s="328"/>
      <c r="AG41" s="328"/>
      <c r="AH41" s="328"/>
      <c r="AI41" s="328"/>
      <c r="AJ41" s="328"/>
      <c r="AK41" s="328"/>
      <c r="AL41" s="328"/>
    </row>
    <row r="42" spans="1:256" s="596" customFormat="1" ht="16.2" thickBot="1" x14ac:dyDescent="0.35">
      <c r="A42" s="590" t="s">
        <v>418</v>
      </c>
      <c r="B42" s="591">
        <f t="shared" ref="B42:I42" si="31">B41+B39+B37</f>
        <v>250.89999999999998</v>
      </c>
      <c r="C42" s="591">
        <f t="shared" si="31"/>
        <v>175.03333333333333</v>
      </c>
      <c r="D42" s="591">
        <f t="shared" si="31"/>
        <v>14.25</v>
      </c>
      <c r="E42" s="747">
        <f t="shared" si="31"/>
        <v>440.18333333333334</v>
      </c>
      <c r="F42" s="591">
        <f t="shared" si="31"/>
        <v>254.79999999999998</v>
      </c>
      <c r="G42" s="591">
        <f t="shared" si="31"/>
        <v>175.33333333333334</v>
      </c>
      <c r="H42" s="591">
        <f t="shared" si="31"/>
        <v>23.5</v>
      </c>
      <c r="I42" s="591">
        <f t="shared" si="31"/>
        <v>453.63333333333333</v>
      </c>
      <c r="J42" s="594">
        <f>IF(E42&gt;0,(I42-E42)/E42,(IF(I42=0,"N/A",100%)))</f>
        <v>3.0555450380523239E-2</v>
      </c>
      <c r="K42" s="591">
        <f>K41+K39+K37</f>
        <v>311.36666666666667</v>
      </c>
      <c r="L42" s="591">
        <f>L41+L39+L37</f>
        <v>177.16666666666666</v>
      </c>
      <c r="M42" s="591">
        <f>M41+M39+M37</f>
        <v>13.75</v>
      </c>
      <c r="N42" s="591">
        <f>N41+N39+N37</f>
        <v>502.2833333333333</v>
      </c>
      <c r="O42" s="594">
        <f>IF(I42&gt;0,(N42-I42)/I42,(IF(N42=0,"N/A",100%)))</f>
        <v>0.1072452053787934</v>
      </c>
      <c r="P42" s="591">
        <f>P41+P39+P37</f>
        <v>333.26666666666671</v>
      </c>
      <c r="Q42" s="591">
        <f>Q41+Q39+Q37</f>
        <v>176.8</v>
      </c>
      <c r="R42" s="591">
        <f>R41+R39+R37</f>
        <v>24.5</v>
      </c>
      <c r="S42" s="591">
        <f>S41+S39+S37</f>
        <v>534.56666666666672</v>
      </c>
      <c r="T42" s="594">
        <f>IF(N42&gt;0,(S42-N42)/N42,(IF(S42=0,"N/A",100%)))</f>
        <v>6.4273152603112629E-2</v>
      </c>
      <c r="U42" s="591">
        <f>U41+U39+U37</f>
        <v>337.46666666666664</v>
      </c>
      <c r="V42" s="591">
        <f>V41+V39+V37</f>
        <v>194.66666666666666</v>
      </c>
      <c r="W42" s="591">
        <f>W41+W39+W37</f>
        <v>9.25</v>
      </c>
      <c r="X42" s="591">
        <f>X41+X39+X37</f>
        <v>541.38333333333333</v>
      </c>
      <c r="Y42" s="594">
        <f>IF(S42&gt;0,(X42-S42)/S42,(IF(X42=0,"N/A",100%)))</f>
        <v>1.2751761551412244E-2</v>
      </c>
      <c r="Z42" s="591">
        <f>Z41+Z39+Z37</f>
        <v>294.8</v>
      </c>
      <c r="AA42" s="591">
        <f>AA41+AA39+AA37</f>
        <v>202.2</v>
      </c>
      <c r="AB42" s="591">
        <f>AB41+AB39+AB37</f>
        <v>25.25</v>
      </c>
      <c r="AC42" s="591">
        <f>AC41+AC39+AC37</f>
        <v>522.25</v>
      </c>
      <c r="AD42" s="595">
        <f>IF(X42&gt;0,(AC42-X42)/X42,(IF(AC42=0,"N/A",100%)))</f>
        <v>-3.5341563279253752E-2</v>
      </c>
    </row>
    <row r="43" spans="1:256" ht="14.25" customHeight="1" thickTop="1" x14ac:dyDescent="0.25">
      <c r="A43" s="604"/>
      <c r="B43" s="335"/>
      <c r="C43" s="335"/>
      <c r="D43" s="335"/>
      <c r="E43" s="335"/>
      <c r="F43" s="335"/>
      <c r="G43" s="335"/>
      <c r="H43" s="335"/>
      <c r="I43" s="335"/>
      <c r="J43" s="328"/>
      <c r="K43" s="328"/>
      <c r="L43" s="328"/>
      <c r="M43" s="328"/>
      <c r="N43" s="328"/>
      <c r="O43" s="328"/>
      <c r="P43" s="328"/>
      <c r="Q43" s="328"/>
      <c r="R43" s="328"/>
      <c r="S43" s="328"/>
      <c r="T43" s="328"/>
      <c r="U43" s="328"/>
      <c r="V43" s="328"/>
      <c r="W43" s="328"/>
      <c r="X43" s="328"/>
      <c r="Y43" s="328"/>
      <c r="Z43" s="328"/>
      <c r="AA43" s="328"/>
      <c r="AB43" s="328"/>
      <c r="AC43" s="328"/>
      <c r="AD43" s="328"/>
      <c r="AE43" s="328"/>
      <c r="AF43" s="328"/>
      <c r="AG43" s="328"/>
      <c r="AH43" s="328"/>
      <c r="AI43" s="328"/>
      <c r="AJ43" s="328"/>
      <c r="AK43" s="328"/>
      <c r="AL43" s="328"/>
    </row>
    <row r="44" spans="1:256" ht="14.25" customHeight="1" thickBot="1" x14ac:dyDescent="0.3">
      <c r="A44" s="604"/>
      <c r="B44" s="335"/>
      <c r="C44" s="335"/>
      <c r="D44" s="335"/>
      <c r="E44" s="335"/>
      <c r="F44" s="335"/>
      <c r="G44" s="335"/>
      <c r="H44" s="335"/>
      <c r="I44" s="335"/>
      <c r="J44" s="328"/>
      <c r="K44" s="328"/>
      <c r="L44" s="328"/>
      <c r="M44" s="328"/>
      <c r="N44" s="328"/>
      <c r="O44" s="328"/>
      <c r="P44" s="328"/>
      <c r="Q44" s="328"/>
      <c r="R44" s="328"/>
      <c r="S44" s="328"/>
      <c r="T44" s="328"/>
      <c r="U44" s="328"/>
      <c r="V44" s="328"/>
      <c r="W44" s="328"/>
      <c r="X44" s="328"/>
      <c r="Y44" s="328"/>
      <c r="Z44" s="328"/>
      <c r="AA44" s="328"/>
      <c r="AB44" s="328"/>
      <c r="AC44" s="328"/>
      <c r="AD44" s="328"/>
      <c r="AE44" s="328"/>
      <c r="AF44" s="328"/>
      <c r="AG44" s="328"/>
      <c r="AH44" s="328"/>
      <c r="AI44" s="328"/>
      <c r="AJ44" s="328"/>
      <c r="AK44" s="328"/>
      <c r="AL44" s="328"/>
    </row>
    <row r="45" spans="1:256" customFormat="1" ht="18" thickBot="1" x14ac:dyDescent="0.35">
      <c r="A45" s="1718" t="s">
        <v>407</v>
      </c>
      <c r="B45" s="1719"/>
      <c r="C45" s="1719"/>
      <c r="D45" s="1719"/>
      <c r="E45" s="1719"/>
      <c r="F45" s="1719"/>
      <c r="G45" s="1719"/>
      <c r="H45" s="1719"/>
      <c r="I45" s="1719"/>
      <c r="J45" s="1719"/>
      <c r="K45" s="1719"/>
      <c r="L45" s="1719"/>
      <c r="M45" s="1719"/>
      <c r="N45" s="1719"/>
      <c r="O45" s="1719"/>
      <c r="P45" s="1719"/>
      <c r="Q45" s="1719"/>
      <c r="R45" s="1719"/>
      <c r="S45" s="1719"/>
      <c r="T45" s="1719"/>
      <c r="U45" s="1719"/>
      <c r="V45" s="1719"/>
      <c r="W45" s="1719"/>
      <c r="X45" s="1719"/>
      <c r="Y45" s="1719"/>
      <c r="Z45" s="1719"/>
      <c r="AA45" s="1719"/>
      <c r="AB45" s="1719"/>
      <c r="AC45" s="1719"/>
      <c r="AD45" s="1720"/>
    </row>
    <row r="46" spans="1:256" ht="26.4" x14ac:dyDescent="0.25">
      <c r="A46" s="1723" t="s">
        <v>952</v>
      </c>
      <c r="B46" s="148" t="s">
        <v>954</v>
      </c>
      <c r="C46" s="148" t="s">
        <v>955</v>
      </c>
      <c r="D46" s="148" t="s">
        <v>956</v>
      </c>
      <c r="E46" s="820" t="s">
        <v>1015</v>
      </c>
      <c r="F46" s="148" t="s">
        <v>954</v>
      </c>
      <c r="G46" s="148" t="s">
        <v>955</v>
      </c>
      <c r="H46" s="148" t="s">
        <v>956</v>
      </c>
      <c r="I46" s="823" t="s">
        <v>1015</v>
      </c>
      <c r="J46" s="820" t="s">
        <v>1017</v>
      </c>
      <c r="K46" s="148" t="s">
        <v>954</v>
      </c>
      <c r="L46" s="148" t="s">
        <v>955</v>
      </c>
      <c r="M46" s="148" t="s">
        <v>956</v>
      </c>
      <c r="N46" s="823" t="s">
        <v>1015</v>
      </c>
      <c r="O46" s="820" t="s">
        <v>1017</v>
      </c>
      <c r="P46" s="148" t="s">
        <v>954</v>
      </c>
      <c r="Q46" s="148" t="s">
        <v>955</v>
      </c>
      <c r="R46" s="148" t="s">
        <v>956</v>
      </c>
      <c r="S46" s="823" t="s">
        <v>1015</v>
      </c>
      <c r="T46" s="820" t="s">
        <v>1017</v>
      </c>
      <c r="U46" s="148" t="s">
        <v>954</v>
      </c>
      <c r="V46" s="148" t="s">
        <v>955</v>
      </c>
      <c r="W46" s="148" t="s">
        <v>956</v>
      </c>
      <c r="X46" s="823" t="s">
        <v>1015</v>
      </c>
      <c r="Y46" s="821" t="s">
        <v>1017</v>
      </c>
      <c r="Z46" s="148" t="s">
        <v>954</v>
      </c>
      <c r="AA46" s="148" t="s">
        <v>955</v>
      </c>
      <c r="AB46" s="148" t="s">
        <v>956</v>
      </c>
      <c r="AC46" s="823" t="s">
        <v>1015</v>
      </c>
      <c r="AD46" s="779" t="s">
        <v>1017</v>
      </c>
      <c r="AE46" s="328"/>
      <c r="AF46" s="328"/>
      <c r="AG46" s="328"/>
      <c r="AH46" s="329"/>
      <c r="AI46" s="328"/>
      <c r="AJ46" s="328"/>
      <c r="AK46" s="328"/>
      <c r="AL46" s="328"/>
    </row>
    <row r="47" spans="1:256" x14ac:dyDescent="0.25">
      <c r="A47" s="1724"/>
      <c r="B47" s="740" t="s">
        <v>1441</v>
      </c>
      <c r="C47" s="148"/>
      <c r="D47" s="148"/>
      <c r="E47" s="729"/>
      <c r="F47" s="740" t="s">
        <v>1440</v>
      </c>
      <c r="G47" s="148"/>
      <c r="H47" s="148"/>
      <c r="I47" s="148"/>
      <c r="J47" s="818"/>
      <c r="K47" s="1726" t="s">
        <v>1390</v>
      </c>
      <c r="L47" s="1727"/>
      <c r="M47" s="1727"/>
      <c r="N47" s="1727"/>
      <c r="O47" s="1728"/>
      <c r="P47" s="819" t="s">
        <v>1391</v>
      </c>
      <c r="Q47" s="148"/>
      <c r="R47" s="148"/>
      <c r="S47" s="148"/>
      <c r="T47" s="818"/>
      <c r="U47" s="819" t="s">
        <v>1392</v>
      </c>
      <c r="V47" s="148"/>
      <c r="W47" s="148"/>
      <c r="X47" s="148"/>
      <c r="Y47" s="818"/>
      <c r="Z47" s="819" t="s">
        <v>1517</v>
      </c>
      <c r="AA47" s="148"/>
      <c r="AB47" s="148"/>
      <c r="AC47" s="148"/>
      <c r="AD47" s="741"/>
      <c r="AE47" s="328"/>
      <c r="AF47" s="328"/>
      <c r="AG47" s="328"/>
      <c r="AH47" s="328"/>
      <c r="AI47" s="328"/>
      <c r="AJ47" s="328"/>
      <c r="AK47" s="328"/>
      <c r="AL47" s="328"/>
      <c r="AM47" s="328"/>
      <c r="AN47" s="328"/>
      <c r="AO47" s="328"/>
      <c r="AP47" s="328"/>
      <c r="AQ47" s="328"/>
      <c r="AR47" s="328"/>
      <c r="AS47" s="328"/>
      <c r="AT47" s="328"/>
      <c r="AU47" s="328"/>
      <c r="AV47" s="328"/>
      <c r="AW47" s="328"/>
      <c r="AX47" s="328"/>
      <c r="AY47" s="328"/>
      <c r="AZ47" s="328"/>
      <c r="BA47" s="328"/>
      <c r="BB47" s="328"/>
      <c r="BC47" s="328"/>
      <c r="BD47" s="328"/>
      <c r="BE47" s="328"/>
      <c r="BF47" s="328"/>
      <c r="BG47" s="328"/>
      <c r="BH47" s="328"/>
      <c r="BI47" s="328"/>
      <c r="BJ47" s="328"/>
      <c r="BK47" s="328"/>
      <c r="BL47" s="328"/>
      <c r="BM47" s="328"/>
      <c r="BN47" s="328"/>
      <c r="BO47" s="328"/>
      <c r="BP47" s="328"/>
      <c r="BQ47" s="328"/>
      <c r="BR47" s="328"/>
      <c r="BS47" s="328"/>
      <c r="BT47" s="328"/>
      <c r="BU47" s="328"/>
      <c r="BV47" s="328"/>
      <c r="BW47" s="328"/>
      <c r="BX47" s="328"/>
      <c r="BY47" s="328"/>
      <c r="BZ47" s="328"/>
      <c r="CA47" s="328"/>
      <c r="CB47" s="328"/>
      <c r="CC47" s="328"/>
      <c r="CD47" s="328"/>
      <c r="CE47" s="328"/>
      <c r="CF47" s="328"/>
      <c r="CG47" s="328"/>
      <c r="CH47" s="328"/>
      <c r="CI47" s="328"/>
      <c r="CJ47" s="328"/>
      <c r="CK47" s="328"/>
      <c r="CL47" s="328"/>
      <c r="CM47" s="328"/>
      <c r="CN47" s="328"/>
      <c r="CO47" s="328"/>
      <c r="CP47" s="328"/>
      <c r="CQ47" s="328"/>
      <c r="CR47" s="328"/>
      <c r="CS47" s="328"/>
      <c r="CT47" s="328"/>
      <c r="CU47" s="328"/>
      <c r="CV47" s="328"/>
      <c r="CW47" s="328"/>
      <c r="CX47" s="328"/>
      <c r="CY47" s="328"/>
      <c r="CZ47" s="328"/>
      <c r="DA47" s="328"/>
      <c r="DB47" s="328"/>
      <c r="DC47" s="328"/>
      <c r="DD47" s="328"/>
      <c r="DE47" s="328"/>
      <c r="DF47" s="328"/>
      <c r="DG47" s="328"/>
      <c r="DH47" s="328"/>
      <c r="DI47" s="328"/>
      <c r="DJ47" s="328"/>
      <c r="DK47" s="328"/>
      <c r="DL47" s="328"/>
      <c r="DM47" s="328"/>
      <c r="DN47" s="328"/>
      <c r="DO47" s="328"/>
      <c r="DP47" s="328"/>
      <c r="DQ47" s="328"/>
      <c r="DR47" s="328"/>
      <c r="DS47" s="328"/>
      <c r="DT47" s="328"/>
      <c r="DU47" s="328"/>
      <c r="DV47" s="328"/>
      <c r="DW47" s="328"/>
      <c r="DX47" s="328"/>
      <c r="DY47" s="328"/>
      <c r="DZ47" s="328"/>
      <c r="EA47" s="328"/>
      <c r="EB47" s="328"/>
      <c r="EC47" s="328"/>
      <c r="ED47" s="328"/>
      <c r="EE47" s="328"/>
      <c r="EF47" s="328"/>
      <c r="EG47" s="328"/>
      <c r="EH47" s="328"/>
      <c r="EI47" s="328"/>
      <c r="EJ47" s="328"/>
      <c r="EK47" s="328"/>
      <c r="EL47" s="328"/>
      <c r="EM47" s="328"/>
      <c r="EN47" s="328"/>
      <c r="EO47" s="328"/>
      <c r="EP47" s="328"/>
      <c r="EQ47" s="328"/>
      <c r="ER47" s="328"/>
      <c r="ES47" s="328"/>
      <c r="ET47" s="328"/>
      <c r="EU47" s="328"/>
      <c r="EV47" s="328"/>
      <c r="EW47" s="328"/>
      <c r="EX47" s="328"/>
      <c r="EY47" s="328"/>
      <c r="EZ47" s="328"/>
      <c r="FA47" s="328"/>
      <c r="FB47" s="328"/>
      <c r="FC47" s="328"/>
      <c r="FD47" s="328"/>
      <c r="FE47" s="328"/>
      <c r="FF47" s="328"/>
      <c r="FG47" s="328"/>
      <c r="FH47" s="328"/>
      <c r="FI47" s="328"/>
      <c r="FJ47" s="328"/>
      <c r="FK47" s="328"/>
      <c r="FL47" s="328"/>
      <c r="FM47" s="328"/>
      <c r="FN47" s="328"/>
      <c r="FO47" s="328"/>
      <c r="FP47" s="328"/>
      <c r="FQ47" s="328"/>
      <c r="FR47" s="328"/>
      <c r="FS47" s="328"/>
      <c r="FT47" s="328"/>
      <c r="FU47" s="328"/>
      <c r="FV47" s="328"/>
      <c r="FW47" s="328"/>
      <c r="FX47" s="328"/>
      <c r="FY47" s="328"/>
      <c r="FZ47" s="328"/>
      <c r="GA47" s="328"/>
      <c r="GB47" s="328"/>
      <c r="GC47" s="328"/>
      <c r="GD47" s="328"/>
      <c r="GE47" s="328"/>
      <c r="GF47" s="328"/>
      <c r="GG47" s="328"/>
      <c r="GH47" s="328"/>
      <c r="GI47" s="328"/>
      <c r="GJ47" s="328"/>
      <c r="GK47" s="328"/>
      <c r="GL47" s="328"/>
      <c r="GM47" s="328"/>
      <c r="GN47" s="328"/>
      <c r="GO47" s="328"/>
      <c r="GP47" s="328"/>
      <c r="GQ47" s="328"/>
      <c r="GR47" s="328"/>
      <c r="GS47" s="328"/>
      <c r="GT47" s="328"/>
      <c r="GU47" s="328"/>
      <c r="GV47" s="328"/>
      <c r="GW47" s="328"/>
      <c r="GX47" s="328"/>
      <c r="GY47" s="328"/>
      <c r="GZ47" s="328"/>
      <c r="HA47" s="328"/>
      <c r="HB47" s="328"/>
      <c r="HC47" s="328"/>
      <c r="HD47" s="328"/>
      <c r="HE47" s="328"/>
      <c r="HF47" s="328"/>
      <c r="HG47" s="328"/>
      <c r="HH47" s="328"/>
      <c r="HI47" s="328"/>
      <c r="HJ47" s="328"/>
      <c r="HK47" s="328"/>
      <c r="HL47" s="328"/>
      <c r="HM47" s="328"/>
      <c r="HN47" s="328"/>
      <c r="HO47" s="328"/>
      <c r="HP47" s="328"/>
      <c r="HQ47" s="328"/>
      <c r="HR47" s="328"/>
      <c r="HS47" s="328"/>
      <c r="HT47" s="328"/>
      <c r="HU47" s="328"/>
      <c r="HV47" s="328"/>
      <c r="HW47" s="328"/>
      <c r="HX47" s="328"/>
      <c r="HY47" s="328"/>
      <c r="HZ47" s="328"/>
      <c r="IA47" s="328"/>
      <c r="IB47" s="328"/>
      <c r="IC47" s="328"/>
      <c r="ID47" s="328"/>
      <c r="IE47" s="328"/>
      <c r="IF47" s="328"/>
      <c r="IG47" s="328"/>
      <c r="IH47" s="328"/>
      <c r="II47" s="328"/>
      <c r="IJ47" s="328"/>
      <c r="IK47" s="328"/>
      <c r="IL47" s="328"/>
      <c r="IM47" s="328"/>
      <c r="IN47" s="328"/>
      <c r="IO47" s="328"/>
      <c r="IP47" s="328"/>
      <c r="IQ47" s="328"/>
      <c r="IR47" s="328"/>
      <c r="IS47" s="328"/>
      <c r="IT47" s="328"/>
      <c r="IU47" s="328"/>
      <c r="IV47" s="328"/>
    </row>
    <row r="48" spans="1:256" s="610" customFormat="1" x14ac:dyDescent="0.25">
      <c r="A48" s="576" t="s">
        <v>408</v>
      </c>
      <c r="B48" s="605"/>
      <c r="C48" s="606"/>
      <c r="D48" s="606"/>
      <c r="E48" s="607"/>
      <c r="F48" s="605"/>
      <c r="G48" s="606"/>
      <c r="H48" s="606"/>
      <c r="I48" s="606"/>
      <c r="J48" s="518"/>
      <c r="K48" s="605"/>
      <c r="L48" s="606"/>
      <c r="M48" s="606"/>
      <c r="N48" s="606"/>
      <c r="O48" s="518"/>
      <c r="P48" s="605"/>
      <c r="Q48" s="606"/>
      <c r="R48" s="606"/>
      <c r="S48" s="606"/>
      <c r="T48" s="518"/>
      <c r="U48" s="605"/>
      <c r="V48" s="606"/>
      <c r="W48" s="606"/>
      <c r="X48" s="606"/>
      <c r="Y48" s="518"/>
      <c r="Z48" s="605"/>
      <c r="AA48" s="606"/>
      <c r="AB48" s="606"/>
      <c r="AC48" s="606"/>
      <c r="AD48" s="608"/>
      <c r="AE48" s="328"/>
      <c r="AF48" s="328"/>
      <c r="AG48" s="328"/>
      <c r="AH48" s="328"/>
      <c r="AI48" s="328"/>
      <c r="AJ48" s="328"/>
      <c r="AK48" s="328"/>
      <c r="AL48" s="328"/>
      <c r="AM48" s="328"/>
      <c r="AN48" s="328"/>
      <c r="AO48" s="328"/>
      <c r="AP48" s="328"/>
      <c r="AQ48" s="328"/>
      <c r="AR48" s="328"/>
      <c r="AS48" s="328"/>
      <c r="AT48" s="328"/>
      <c r="AU48" s="328"/>
      <c r="AV48" s="328"/>
      <c r="AW48" s="328"/>
      <c r="AX48" s="328"/>
      <c r="AY48" s="328"/>
      <c r="AZ48" s="328"/>
      <c r="BA48" s="328"/>
      <c r="BB48" s="328"/>
      <c r="BC48" s="328"/>
      <c r="BD48" s="328"/>
      <c r="BE48" s="328"/>
      <c r="BF48" s="328"/>
      <c r="BG48" s="328"/>
      <c r="BH48" s="328"/>
      <c r="BI48" s="328"/>
      <c r="BJ48" s="328"/>
      <c r="BK48" s="328"/>
      <c r="BL48" s="328"/>
      <c r="BM48" s="328"/>
      <c r="BN48" s="328"/>
      <c r="BO48" s="328"/>
      <c r="BP48" s="328"/>
      <c r="BQ48" s="328"/>
      <c r="BR48" s="328"/>
      <c r="BS48" s="328"/>
      <c r="BT48" s="328"/>
      <c r="BU48" s="328"/>
      <c r="BV48" s="328"/>
      <c r="BW48" s="328"/>
      <c r="BX48" s="328"/>
      <c r="BY48" s="328"/>
      <c r="BZ48" s="328"/>
      <c r="CA48" s="328"/>
      <c r="CB48" s="328"/>
      <c r="CC48" s="328"/>
      <c r="CD48" s="328"/>
      <c r="CE48" s="328"/>
      <c r="CF48" s="328"/>
      <c r="CG48" s="328"/>
      <c r="CH48" s="328"/>
      <c r="CI48" s="328"/>
      <c r="CJ48" s="328"/>
      <c r="CK48" s="328"/>
      <c r="CL48" s="328"/>
      <c r="CM48" s="328"/>
      <c r="CN48" s="328"/>
      <c r="CO48" s="328"/>
      <c r="CP48" s="328"/>
      <c r="CQ48" s="328"/>
      <c r="CR48" s="328"/>
      <c r="CS48" s="328"/>
      <c r="CT48" s="328"/>
      <c r="CU48" s="328"/>
      <c r="CV48" s="328"/>
      <c r="CW48" s="328"/>
      <c r="CX48" s="328"/>
      <c r="CY48" s="328"/>
      <c r="CZ48" s="328"/>
      <c r="DA48" s="328"/>
      <c r="DB48" s="328"/>
      <c r="DC48" s="328"/>
      <c r="DD48" s="328"/>
      <c r="DE48" s="328"/>
      <c r="DF48" s="328"/>
      <c r="DG48" s="328"/>
      <c r="DH48" s="328"/>
      <c r="DI48" s="328"/>
      <c r="DJ48" s="328"/>
      <c r="DK48" s="328"/>
      <c r="DL48" s="328"/>
      <c r="DM48" s="328"/>
      <c r="DN48" s="328"/>
      <c r="DO48" s="328"/>
      <c r="DP48" s="328"/>
      <c r="DQ48" s="328"/>
      <c r="DR48" s="328"/>
      <c r="DS48" s="328"/>
      <c r="DT48" s="328"/>
      <c r="DU48" s="328"/>
      <c r="DV48" s="328"/>
      <c r="DW48" s="328"/>
      <c r="DX48" s="328"/>
      <c r="DY48" s="328"/>
      <c r="DZ48" s="328"/>
      <c r="EA48" s="328"/>
      <c r="EB48" s="328"/>
      <c r="EC48" s="328"/>
      <c r="ED48" s="328"/>
      <c r="EE48" s="328"/>
      <c r="EF48" s="328"/>
      <c r="EG48" s="328"/>
      <c r="EH48" s="328"/>
      <c r="EI48" s="328"/>
      <c r="EJ48" s="328"/>
      <c r="EK48" s="328"/>
      <c r="EL48" s="328"/>
      <c r="EM48" s="328"/>
      <c r="EN48" s="328"/>
      <c r="EO48" s="328"/>
      <c r="EP48" s="328"/>
      <c r="EQ48" s="328"/>
      <c r="ER48" s="328"/>
      <c r="ES48" s="328"/>
      <c r="ET48" s="328"/>
      <c r="EU48" s="328"/>
      <c r="EV48" s="328"/>
      <c r="EW48" s="328"/>
      <c r="EX48" s="328"/>
      <c r="EY48" s="328"/>
      <c r="EZ48" s="328"/>
      <c r="FA48" s="328"/>
      <c r="FB48" s="328"/>
      <c r="FC48" s="328"/>
      <c r="FD48" s="328"/>
      <c r="FE48" s="328"/>
      <c r="FF48" s="328"/>
      <c r="FG48" s="328"/>
      <c r="FH48" s="328"/>
      <c r="FI48" s="328"/>
      <c r="FJ48" s="328"/>
      <c r="FK48" s="328"/>
      <c r="FL48" s="328"/>
      <c r="FM48" s="328"/>
      <c r="FN48" s="328"/>
      <c r="FO48" s="328"/>
      <c r="FP48" s="328"/>
      <c r="FQ48" s="328"/>
      <c r="FR48" s="328"/>
      <c r="FS48" s="328"/>
      <c r="FT48" s="328"/>
      <c r="FU48" s="328"/>
      <c r="FV48" s="328"/>
      <c r="FW48" s="328"/>
      <c r="FX48" s="328"/>
      <c r="FY48" s="328"/>
      <c r="FZ48" s="328"/>
      <c r="GA48" s="328"/>
      <c r="GB48" s="328"/>
      <c r="GC48" s="328"/>
      <c r="GD48" s="328"/>
      <c r="GE48" s="328"/>
      <c r="GF48" s="328"/>
      <c r="GG48" s="328"/>
      <c r="GH48" s="328"/>
      <c r="GI48" s="328"/>
      <c r="GJ48" s="328"/>
      <c r="GK48" s="328"/>
      <c r="GL48" s="328"/>
      <c r="GM48" s="328"/>
      <c r="GN48" s="328"/>
      <c r="GO48" s="328"/>
      <c r="GP48" s="328"/>
      <c r="GQ48" s="328"/>
      <c r="GR48" s="328"/>
      <c r="GS48" s="328"/>
      <c r="GT48" s="328"/>
      <c r="GU48" s="328"/>
      <c r="GV48" s="328"/>
      <c r="GW48" s="328"/>
      <c r="GX48" s="328"/>
      <c r="GY48" s="328"/>
      <c r="GZ48" s="328"/>
      <c r="HA48" s="328"/>
      <c r="HB48" s="328"/>
      <c r="HC48" s="328"/>
      <c r="HD48" s="328"/>
      <c r="HE48" s="328"/>
      <c r="HF48" s="328"/>
      <c r="HG48" s="328"/>
      <c r="HH48" s="328"/>
      <c r="HI48" s="328"/>
      <c r="HJ48" s="328"/>
      <c r="HK48" s="328"/>
      <c r="HL48" s="328"/>
      <c r="HM48" s="328"/>
      <c r="HN48" s="328"/>
      <c r="HO48" s="328"/>
      <c r="HP48" s="328"/>
      <c r="HQ48" s="328"/>
      <c r="HR48" s="328"/>
      <c r="HS48" s="328"/>
      <c r="HT48" s="328"/>
      <c r="HU48" s="328"/>
      <c r="HV48" s="328"/>
      <c r="HW48" s="328"/>
      <c r="HX48" s="328"/>
      <c r="HY48" s="328"/>
      <c r="HZ48" s="328"/>
      <c r="IA48" s="328"/>
      <c r="IB48" s="328"/>
      <c r="IC48" s="328"/>
      <c r="ID48" s="328"/>
      <c r="IE48" s="328"/>
      <c r="IF48" s="328"/>
      <c r="IG48" s="328"/>
      <c r="IH48" s="328"/>
      <c r="II48" s="328"/>
      <c r="IJ48" s="328"/>
      <c r="IK48" s="328"/>
      <c r="IL48" s="328"/>
      <c r="IM48" s="328"/>
      <c r="IN48" s="328"/>
      <c r="IO48" s="328"/>
      <c r="IP48" s="328"/>
      <c r="IQ48" s="328"/>
      <c r="IR48" s="328"/>
      <c r="IS48" s="328"/>
      <c r="IT48" s="328"/>
      <c r="IU48" s="328"/>
      <c r="IV48" s="328"/>
    </row>
    <row r="49" spans="1:256" x14ac:dyDescent="0.25">
      <c r="A49" s="566" t="s">
        <v>976</v>
      </c>
      <c r="B49" s="154">
        <f>+'NEW Fall CHP by DISC'!B49/15</f>
        <v>65.8</v>
      </c>
      <c r="C49" s="154">
        <f>+'NEW Fall CHP by DISC'!C49/15</f>
        <v>24.066666666666666</v>
      </c>
      <c r="D49" s="154">
        <f>+'NEW Fall CHP by DISC'!D49/12</f>
        <v>7.5</v>
      </c>
      <c r="E49" s="745">
        <f>SUM(B49:D49)</f>
        <v>97.36666666666666</v>
      </c>
      <c r="F49" s="154">
        <f>+'NEW Fall CHP by DISC'!F49/15</f>
        <v>64.599999999999994</v>
      </c>
      <c r="G49" s="154">
        <f>+'NEW Fall CHP by DISC'!G49/15</f>
        <v>39.533333333333331</v>
      </c>
      <c r="H49" s="154">
        <f>+'NEW Fall CHP by DISC'!H49/12</f>
        <v>10.5</v>
      </c>
      <c r="I49" s="154">
        <f>SUM(F49:H49)</f>
        <v>114.63333333333333</v>
      </c>
      <c r="J49" s="602">
        <f>IF(E49&gt;0,(I49-E49)/E49,(IF(I49=0,"N/A",100%)))</f>
        <v>0.17733652858610066</v>
      </c>
      <c r="K49" s="154">
        <f>+'NEW Fall CHP by DISC'!K49/15</f>
        <v>73.2</v>
      </c>
      <c r="L49" s="154">
        <f>+'NEW Fall CHP by DISC'!L49/15</f>
        <v>34.866666666666667</v>
      </c>
      <c r="M49" s="154">
        <f>+'NEW Fall CHP by DISC'!M49/12</f>
        <v>3.75</v>
      </c>
      <c r="N49" s="154">
        <f>SUM(K49:M49)</f>
        <v>111.81666666666666</v>
      </c>
      <c r="O49" s="602">
        <f>IF(I49&gt;0,(N49-I49)/I49,(IF(N49=0,"N/A",100%)))</f>
        <v>-2.4571096248909536E-2</v>
      </c>
      <c r="P49" s="154">
        <f>+'NEW Fall CHP by DISC'!P49/15</f>
        <v>99.6</v>
      </c>
      <c r="Q49" s="154">
        <f>+'NEW Fall CHP by DISC'!Q49/15</f>
        <v>25.533333333333335</v>
      </c>
      <c r="R49" s="154">
        <f>+'NEW Fall CHP by DISC'!R49/12</f>
        <v>9</v>
      </c>
      <c r="S49" s="154">
        <f>SUM(P49:R49)</f>
        <v>134.13333333333333</v>
      </c>
      <c r="T49" s="602">
        <f>IF(N49&gt;0,(S49-N49)/N49,(IF(S49=0,"N/A",100%)))</f>
        <v>0.1995826501714115</v>
      </c>
      <c r="U49" s="154">
        <f>+'NEW Fall CHP by DISC'!U49/15</f>
        <v>104.4</v>
      </c>
      <c r="V49" s="154">
        <f>+'NEW Fall CHP by DISC'!V49/15</f>
        <v>30.066666666666666</v>
      </c>
      <c r="W49" s="154">
        <f>+'NEW Fall CHP by DISC'!W49/12</f>
        <v>3.75</v>
      </c>
      <c r="X49" s="154">
        <f>SUM(U49:W49)</f>
        <v>138.21666666666667</v>
      </c>
      <c r="Y49" s="602">
        <f>IF(S49&gt;0,(X49-S49)/S49,(IF(X49=0,"N/A",100%)))</f>
        <v>3.0442345924453353E-2</v>
      </c>
      <c r="Z49" s="154">
        <f>+'NEW Fall CHP by DISC'!Z49/15</f>
        <v>84.8</v>
      </c>
      <c r="AA49" s="154">
        <f>+'NEW Fall CHP by DISC'!AA49/15</f>
        <v>34.93333333333333</v>
      </c>
      <c r="AB49" s="154">
        <f>+'NEW Fall CHP by DISC'!AB49/12</f>
        <v>5.25</v>
      </c>
      <c r="AC49" s="154">
        <f>SUM(Z49:AB49)</f>
        <v>124.98333333333332</v>
      </c>
      <c r="AD49" s="567">
        <f>IF(X49&gt;0,(AC49-X49)/X49,(IF(AC49=0,"N/A",100%)))</f>
        <v>-9.5743398046545386E-2</v>
      </c>
      <c r="AE49" s="328"/>
      <c r="AF49" s="328"/>
      <c r="AG49" s="328"/>
      <c r="AH49" s="328"/>
      <c r="AI49" s="328"/>
      <c r="AJ49" s="328"/>
      <c r="AK49" s="328"/>
      <c r="AL49" s="328"/>
      <c r="AM49" s="328"/>
      <c r="AN49" s="328"/>
      <c r="AO49" s="328"/>
      <c r="AP49" s="328"/>
      <c r="AQ49" s="328"/>
      <c r="AR49" s="328"/>
      <c r="AS49" s="328"/>
      <c r="AT49" s="328"/>
      <c r="AU49" s="328"/>
      <c r="AV49" s="328"/>
      <c r="AW49" s="328"/>
      <c r="AX49" s="328"/>
      <c r="AY49" s="328"/>
      <c r="AZ49" s="328"/>
      <c r="BA49" s="328"/>
      <c r="BB49" s="328"/>
      <c r="BC49" s="328"/>
      <c r="BD49" s="328"/>
      <c r="BE49" s="328"/>
      <c r="BF49" s="328"/>
      <c r="BG49" s="328"/>
      <c r="BH49" s="328"/>
      <c r="BI49" s="328"/>
      <c r="BJ49" s="328"/>
      <c r="BK49" s="328"/>
      <c r="BL49" s="328"/>
      <c r="BM49" s="328"/>
      <c r="BN49" s="328"/>
      <c r="BO49" s="328"/>
      <c r="BP49" s="328"/>
      <c r="BQ49" s="328"/>
      <c r="BR49" s="328"/>
      <c r="BS49" s="328"/>
      <c r="BT49" s="328"/>
      <c r="BU49" s="328"/>
      <c r="BV49" s="328"/>
      <c r="BW49" s="328"/>
      <c r="BX49" s="328"/>
      <c r="BY49" s="328"/>
      <c r="BZ49" s="328"/>
      <c r="CA49" s="328"/>
      <c r="CB49" s="328"/>
      <c r="CC49" s="328"/>
      <c r="CD49" s="328"/>
      <c r="CE49" s="328"/>
      <c r="CF49" s="328"/>
      <c r="CG49" s="328"/>
      <c r="CH49" s="328"/>
      <c r="CI49" s="328"/>
      <c r="CJ49" s="328"/>
      <c r="CK49" s="328"/>
      <c r="CL49" s="328"/>
      <c r="CM49" s="328"/>
      <c r="CN49" s="328"/>
      <c r="CO49" s="328"/>
      <c r="CP49" s="328"/>
      <c r="CQ49" s="328"/>
      <c r="CR49" s="328"/>
      <c r="CS49" s="328"/>
      <c r="CT49" s="328"/>
      <c r="CU49" s="328"/>
      <c r="CV49" s="328"/>
      <c r="CW49" s="328"/>
      <c r="CX49" s="328"/>
      <c r="CY49" s="328"/>
      <c r="CZ49" s="328"/>
      <c r="DA49" s="328"/>
      <c r="DB49" s="328"/>
      <c r="DC49" s="328"/>
      <c r="DD49" s="328"/>
      <c r="DE49" s="328"/>
      <c r="DF49" s="328"/>
      <c r="DG49" s="328"/>
      <c r="DH49" s="328"/>
      <c r="DI49" s="328"/>
      <c r="DJ49" s="328"/>
      <c r="DK49" s="328"/>
      <c r="DL49" s="328"/>
      <c r="DM49" s="328"/>
      <c r="DN49" s="328"/>
      <c r="DO49" s="328"/>
      <c r="DP49" s="328"/>
      <c r="DQ49" s="328"/>
      <c r="DR49" s="328"/>
      <c r="DS49" s="328"/>
      <c r="DT49" s="328"/>
      <c r="DU49" s="328"/>
      <c r="DV49" s="328"/>
      <c r="DW49" s="328"/>
      <c r="DX49" s="328"/>
      <c r="DY49" s="328"/>
      <c r="DZ49" s="328"/>
      <c r="EA49" s="328"/>
      <c r="EB49" s="328"/>
      <c r="EC49" s="328"/>
      <c r="ED49" s="328"/>
      <c r="EE49" s="328"/>
      <c r="EF49" s="328"/>
      <c r="EG49" s="328"/>
      <c r="EH49" s="328"/>
      <c r="EI49" s="328"/>
      <c r="EJ49" s="328"/>
      <c r="EK49" s="328"/>
      <c r="EL49" s="328"/>
      <c r="EM49" s="328"/>
      <c r="EN49" s="328"/>
      <c r="EO49" s="328"/>
      <c r="EP49" s="328"/>
      <c r="EQ49" s="328"/>
      <c r="ER49" s="328"/>
      <c r="ES49" s="328"/>
      <c r="ET49" s="328"/>
      <c r="EU49" s="328"/>
      <c r="EV49" s="328"/>
      <c r="EW49" s="328"/>
      <c r="EX49" s="328"/>
      <c r="EY49" s="328"/>
      <c r="EZ49" s="328"/>
      <c r="FA49" s="328"/>
      <c r="FB49" s="328"/>
      <c r="FC49" s="328"/>
      <c r="FD49" s="328"/>
      <c r="FE49" s="328"/>
      <c r="FF49" s="328"/>
      <c r="FG49" s="328"/>
      <c r="FH49" s="328"/>
      <c r="FI49" s="328"/>
      <c r="FJ49" s="328"/>
      <c r="FK49" s="328"/>
      <c r="FL49" s="328"/>
      <c r="FM49" s="328"/>
      <c r="FN49" s="328"/>
      <c r="FO49" s="328"/>
      <c r="FP49" s="328"/>
      <c r="FQ49" s="328"/>
      <c r="FR49" s="328"/>
      <c r="FS49" s="328"/>
      <c r="FT49" s="328"/>
      <c r="FU49" s="328"/>
      <c r="FV49" s="328"/>
      <c r="FW49" s="328"/>
      <c r="FX49" s="328"/>
      <c r="FY49" s="328"/>
      <c r="FZ49" s="328"/>
      <c r="GA49" s="328"/>
      <c r="GB49" s="328"/>
      <c r="GC49" s="328"/>
      <c r="GD49" s="328"/>
      <c r="GE49" s="328"/>
      <c r="GF49" s="328"/>
      <c r="GG49" s="328"/>
      <c r="GH49" s="328"/>
      <c r="GI49" s="328"/>
      <c r="GJ49" s="328"/>
      <c r="GK49" s="328"/>
      <c r="GL49" s="328"/>
      <c r="GM49" s="328"/>
      <c r="GN49" s="328"/>
      <c r="GO49" s="328"/>
      <c r="GP49" s="328"/>
      <c r="GQ49" s="328"/>
      <c r="GR49" s="328"/>
      <c r="GS49" s="328"/>
      <c r="GT49" s="328"/>
      <c r="GU49" s="328"/>
      <c r="GV49" s="328"/>
      <c r="GW49" s="328"/>
      <c r="GX49" s="328"/>
      <c r="GY49" s="328"/>
      <c r="GZ49" s="328"/>
      <c r="HA49" s="328"/>
      <c r="HB49" s="328"/>
      <c r="HC49" s="328"/>
      <c r="HD49" s="328"/>
      <c r="HE49" s="328"/>
      <c r="HF49" s="328"/>
      <c r="HG49" s="328"/>
      <c r="HH49" s="328"/>
      <c r="HI49" s="328"/>
      <c r="HJ49" s="328"/>
      <c r="HK49" s="328"/>
      <c r="HL49" s="328"/>
      <c r="HM49" s="328"/>
      <c r="HN49" s="328"/>
      <c r="HO49" s="328"/>
      <c r="HP49" s="328"/>
      <c r="HQ49" s="328"/>
      <c r="HR49" s="328"/>
      <c r="HS49" s="328"/>
      <c r="HT49" s="328"/>
      <c r="HU49" s="328"/>
      <c r="HV49" s="328"/>
      <c r="HW49" s="328"/>
      <c r="HX49" s="328"/>
      <c r="HY49" s="328"/>
      <c r="HZ49" s="328"/>
      <c r="IA49" s="328"/>
      <c r="IB49" s="328"/>
      <c r="IC49" s="328"/>
      <c r="ID49" s="328"/>
      <c r="IE49" s="328"/>
      <c r="IF49" s="328"/>
      <c r="IG49" s="328"/>
      <c r="IH49" s="328"/>
      <c r="II49" s="328"/>
      <c r="IJ49" s="328"/>
      <c r="IK49" s="328"/>
      <c r="IL49" s="328"/>
      <c r="IM49" s="328"/>
      <c r="IN49" s="328"/>
      <c r="IO49" s="328"/>
      <c r="IP49" s="328"/>
      <c r="IQ49" s="328"/>
      <c r="IR49" s="328"/>
      <c r="IS49" s="328"/>
      <c r="IT49" s="328"/>
      <c r="IU49" s="328"/>
      <c r="IV49" s="328"/>
    </row>
    <row r="50" spans="1:256" x14ac:dyDescent="0.25">
      <c r="A50" s="566" t="s">
        <v>977</v>
      </c>
      <c r="B50" s="154">
        <f>+'NEW Fall CHP by DISC'!B50/15</f>
        <v>0.66666666666666663</v>
      </c>
      <c r="C50" s="154">
        <f>+'NEW Fall CHP by DISC'!C50/15</f>
        <v>1.6</v>
      </c>
      <c r="D50" s="154">
        <f>+'NEW Fall CHP by DISC'!D50/12</f>
        <v>0</v>
      </c>
      <c r="E50" s="745">
        <f>SUM(B50:D50)</f>
        <v>2.2666666666666666</v>
      </c>
      <c r="F50" s="154">
        <f>+'NEW Fall CHP by DISC'!F50/15</f>
        <v>7.8666666666666663</v>
      </c>
      <c r="G50" s="154">
        <f>+'NEW Fall CHP by DISC'!G50/15</f>
        <v>0.66666666666666663</v>
      </c>
      <c r="H50" s="154">
        <f>+'NEW Fall CHP by DISC'!H50/12</f>
        <v>0</v>
      </c>
      <c r="I50" s="154">
        <f>SUM(F50:H50)</f>
        <v>8.5333333333333332</v>
      </c>
      <c r="J50" s="602">
        <f>IF(E50&gt;0,(I50-E50)/E50,(IF(I50=0,"N/A",100%)))</f>
        <v>2.7647058823529411</v>
      </c>
      <c r="K50" s="154">
        <f>+'NEW Fall CHP by DISC'!K50/15</f>
        <v>7.7333333333333334</v>
      </c>
      <c r="L50" s="154">
        <f>+'NEW Fall CHP by DISC'!L50/15</f>
        <v>0.6</v>
      </c>
      <c r="M50" s="154">
        <f>+'NEW Fall CHP by DISC'!M50/12</f>
        <v>0</v>
      </c>
      <c r="N50" s="154">
        <f>SUM(K50:M50)</f>
        <v>8.3333333333333339</v>
      </c>
      <c r="O50" s="602">
        <f>IF(I50&gt;0,(N50-I50)/I50,(IF(N50=0,"N/A",100%)))</f>
        <v>-2.3437499999999917E-2</v>
      </c>
      <c r="P50" s="154">
        <f>+'NEW Fall CHP by DISC'!P50/15</f>
        <v>6.2666666666666666</v>
      </c>
      <c r="Q50" s="154">
        <f>+'NEW Fall CHP by DISC'!Q50/15</f>
        <v>0.8666666666666667</v>
      </c>
      <c r="R50" s="154">
        <f>+'NEW Fall CHP by DISC'!R50/12</f>
        <v>0</v>
      </c>
      <c r="S50" s="154">
        <f>SUM(P50:R50)</f>
        <v>7.1333333333333329</v>
      </c>
      <c r="T50" s="602">
        <f>IF(N50&gt;0,(S50-N50)/N50,(IF(S50=0,"N/A",100%)))</f>
        <v>-0.14400000000000013</v>
      </c>
      <c r="U50" s="154">
        <f>+'NEW Fall CHP by DISC'!U50/15</f>
        <v>20.333333333333332</v>
      </c>
      <c r="V50" s="154">
        <f>+'NEW Fall CHP by DISC'!V50/15</f>
        <v>0.8</v>
      </c>
      <c r="W50" s="154">
        <f>+'NEW Fall CHP by DISC'!W50/12</f>
        <v>0</v>
      </c>
      <c r="X50" s="154">
        <f>SUM(U50:W50)</f>
        <v>21.133333333333333</v>
      </c>
      <c r="Y50" s="602">
        <f>IF(S50&gt;0,(X50-S50)/S50,(IF(X50=0,"N/A",100%)))</f>
        <v>1.9626168224299068</v>
      </c>
      <c r="Z50" s="154">
        <f>+'NEW Fall CHP by DISC'!Z50/15</f>
        <v>11.6</v>
      </c>
      <c r="AA50" s="154">
        <f>+'NEW Fall CHP by DISC'!AA50/15</f>
        <v>0.8</v>
      </c>
      <c r="AB50" s="154">
        <f>+'NEW Fall CHP by DISC'!AB50/12</f>
        <v>0</v>
      </c>
      <c r="AC50" s="154">
        <f>SUM(Z50:AB50)</f>
        <v>12.4</v>
      </c>
      <c r="AD50" s="567">
        <f>IF(X50&gt;0,(AC50-X50)/X50,(IF(AC50=0,"N/A",100%)))</f>
        <v>-0.41324921135646686</v>
      </c>
      <c r="AE50" s="328"/>
      <c r="AF50" s="328"/>
      <c r="AG50" s="328"/>
      <c r="AH50" s="328"/>
      <c r="AI50" s="328"/>
      <c r="AJ50" s="328"/>
      <c r="AK50" s="328"/>
      <c r="AL50" s="328"/>
      <c r="AM50" s="328"/>
      <c r="AN50" s="328"/>
      <c r="AO50" s="328"/>
      <c r="AP50" s="328"/>
      <c r="AQ50" s="328"/>
      <c r="AR50" s="328"/>
      <c r="AS50" s="328"/>
      <c r="AT50" s="328"/>
      <c r="AU50" s="328"/>
      <c r="AV50" s="328"/>
      <c r="AW50" s="328"/>
      <c r="AX50" s="328"/>
      <c r="AY50" s="328"/>
      <c r="AZ50" s="328"/>
      <c r="BA50" s="328"/>
      <c r="BB50" s="328"/>
      <c r="BC50" s="328"/>
      <c r="BD50" s="328"/>
      <c r="BE50" s="328"/>
      <c r="BF50" s="328"/>
      <c r="BG50" s="328"/>
      <c r="BH50" s="328"/>
      <c r="BI50" s="328"/>
      <c r="BJ50" s="328"/>
      <c r="BK50" s="328"/>
      <c r="BL50" s="328"/>
      <c r="BM50" s="328"/>
      <c r="BN50" s="328"/>
      <c r="BO50" s="328"/>
      <c r="BP50" s="328"/>
      <c r="BQ50" s="328"/>
      <c r="BR50" s="328"/>
      <c r="BS50" s="328"/>
      <c r="BT50" s="328"/>
      <c r="BU50" s="328"/>
      <c r="BV50" s="328"/>
      <c r="BW50" s="328"/>
      <c r="BX50" s="328"/>
      <c r="BY50" s="328"/>
      <c r="BZ50" s="328"/>
      <c r="CA50" s="328"/>
      <c r="CB50" s="328"/>
      <c r="CC50" s="328"/>
      <c r="CD50" s="328"/>
      <c r="CE50" s="328"/>
      <c r="CF50" s="328"/>
      <c r="CG50" s="328"/>
      <c r="CH50" s="328"/>
      <c r="CI50" s="328"/>
      <c r="CJ50" s="328"/>
      <c r="CK50" s="328"/>
      <c r="CL50" s="328"/>
      <c r="CM50" s="328"/>
      <c r="CN50" s="328"/>
      <c r="CO50" s="328"/>
      <c r="CP50" s="328"/>
      <c r="CQ50" s="328"/>
      <c r="CR50" s="328"/>
      <c r="CS50" s="328"/>
      <c r="CT50" s="328"/>
      <c r="CU50" s="328"/>
      <c r="CV50" s="328"/>
      <c r="CW50" s="328"/>
      <c r="CX50" s="328"/>
      <c r="CY50" s="328"/>
      <c r="CZ50" s="328"/>
      <c r="DA50" s="328"/>
      <c r="DB50" s="328"/>
      <c r="DC50" s="328"/>
      <c r="DD50" s="328"/>
      <c r="DE50" s="328"/>
      <c r="DF50" s="328"/>
      <c r="DG50" s="328"/>
      <c r="DH50" s="328"/>
      <c r="DI50" s="328"/>
      <c r="DJ50" s="328"/>
      <c r="DK50" s="328"/>
      <c r="DL50" s="328"/>
      <c r="DM50" s="328"/>
      <c r="DN50" s="328"/>
      <c r="DO50" s="328"/>
      <c r="DP50" s="328"/>
      <c r="DQ50" s="328"/>
      <c r="DR50" s="328"/>
      <c r="DS50" s="328"/>
      <c r="DT50" s="328"/>
      <c r="DU50" s="328"/>
      <c r="DV50" s="328"/>
      <c r="DW50" s="328"/>
      <c r="DX50" s="328"/>
      <c r="DY50" s="328"/>
      <c r="DZ50" s="328"/>
      <c r="EA50" s="328"/>
      <c r="EB50" s="328"/>
      <c r="EC50" s="328"/>
      <c r="ED50" s="328"/>
      <c r="EE50" s="328"/>
      <c r="EF50" s="328"/>
      <c r="EG50" s="328"/>
      <c r="EH50" s="328"/>
      <c r="EI50" s="328"/>
      <c r="EJ50" s="328"/>
      <c r="EK50" s="328"/>
      <c r="EL50" s="328"/>
      <c r="EM50" s="328"/>
      <c r="EN50" s="328"/>
      <c r="EO50" s="328"/>
      <c r="EP50" s="328"/>
      <c r="EQ50" s="328"/>
      <c r="ER50" s="328"/>
      <c r="ES50" s="328"/>
      <c r="ET50" s="328"/>
      <c r="EU50" s="328"/>
      <c r="EV50" s="328"/>
      <c r="EW50" s="328"/>
      <c r="EX50" s="328"/>
      <c r="EY50" s="328"/>
      <c r="EZ50" s="328"/>
      <c r="FA50" s="328"/>
      <c r="FB50" s="328"/>
      <c r="FC50" s="328"/>
      <c r="FD50" s="328"/>
      <c r="FE50" s="328"/>
      <c r="FF50" s="328"/>
      <c r="FG50" s="328"/>
      <c r="FH50" s="328"/>
      <c r="FI50" s="328"/>
      <c r="FJ50" s="328"/>
      <c r="FK50" s="328"/>
      <c r="FL50" s="328"/>
      <c r="FM50" s="328"/>
      <c r="FN50" s="328"/>
      <c r="FO50" s="328"/>
      <c r="FP50" s="328"/>
      <c r="FQ50" s="328"/>
      <c r="FR50" s="328"/>
      <c r="FS50" s="328"/>
      <c r="FT50" s="328"/>
      <c r="FU50" s="328"/>
      <c r="FV50" s="328"/>
      <c r="FW50" s="328"/>
      <c r="FX50" s="328"/>
      <c r="FY50" s="328"/>
      <c r="FZ50" s="328"/>
      <c r="GA50" s="328"/>
      <c r="GB50" s="328"/>
      <c r="GC50" s="328"/>
      <c r="GD50" s="328"/>
      <c r="GE50" s="328"/>
      <c r="GF50" s="328"/>
      <c r="GG50" s="328"/>
      <c r="GH50" s="328"/>
      <c r="GI50" s="328"/>
      <c r="GJ50" s="328"/>
      <c r="GK50" s="328"/>
      <c r="GL50" s="328"/>
      <c r="GM50" s="328"/>
      <c r="GN50" s="328"/>
      <c r="GO50" s="328"/>
      <c r="GP50" s="328"/>
      <c r="GQ50" s="328"/>
      <c r="GR50" s="328"/>
      <c r="GS50" s="328"/>
      <c r="GT50" s="328"/>
      <c r="GU50" s="328"/>
      <c r="GV50" s="328"/>
      <c r="GW50" s="328"/>
      <c r="GX50" s="328"/>
      <c r="GY50" s="328"/>
      <c r="GZ50" s="328"/>
      <c r="HA50" s="328"/>
      <c r="HB50" s="328"/>
      <c r="HC50" s="328"/>
      <c r="HD50" s="328"/>
      <c r="HE50" s="328"/>
      <c r="HF50" s="328"/>
      <c r="HG50" s="328"/>
      <c r="HH50" s="328"/>
      <c r="HI50" s="328"/>
      <c r="HJ50" s="328"/>
      <c r="HK50" s="328"/>
      <c r="HL50" s="328"/>
      <c r="HM50" s="328"/>
      <c r="HN50" s="328"/>
      <c r="HO50" s="328"/>
      <c r="HP50" s="328"/>
      <c r="HQ50" s="328"/>
      <c r="HR50" s="328"/>
      <c r="HS50" s="328"/>
      <c r="HT50" s="328"/>
      <c r="HU50" s="328"/>
      <c r="HV50" s="328"/>
      <c r="HW50" s="328"/>
      <c r="HX50" s="328"/>
      <c r="HY50" s="328"/>
      <c r="HZ50" s="328"/>
      <c r="IA50" s="328"/>
      <c r="IB50" s="328"/>
      <c r="IC50" s="328"/>
      <c r="ID50" s="328"/>
      <c r="IE50" s="328"/>
      <c r="IF50" s="328"/>
      <c r="IG50" s="328"/>
      <c r="IH50" s="328"/>
      <c r="II50" s="328"/>
      <c r="IJ50" s="328"/>
      <c r="IK50" s="328"/>
      <c r="IL50" s="328"/>
      <c r="IM50" s="328"/>
      <c r="IN50" s="328"/>
      <c r="IO50" s="328"/>
      <c r="IP50" s="328"/>
      <c r="IQ50" s="328"/>
      <c r="IR50" s="328"/>
      <c r="IS50" s="328"/>
      <c r="IT50" s="328"/>
      <c r="IU50" s="328"/>
      <c r="IV50" s="328"/>
    </row>
    <row r="51" spans="1:256" x14ac:dyDescent="0.25">
      <c r="A51" s="566" t="s">
        <v>1014</v>
      </c>
      <c r="B51" s="154">
        <f>+'NEW Fall CHP by DISC'!B51/15</f>
        <v>0.13333333333333333</v>
      </c>
      <c r="C51" s="154">
        <f>+'NEW Fall CHP by DISC'!C51/15</f>
        <v>0</v>
      </c>
      <c r="D51" s="154">
        <f>+'NEW Fall CHP by DISC'!D51/12</f>
        <v>0</v>
      </c>
      <c r="E51" s="745">
        <f>SUM(B51:D51)</f>
        <v>0.13333333333333333</v>
      </c>
      <c r="F51" s="154">
        <v>0</v>
      </c>
      <c r="G51" s="154">
        <v>0</v>
      </c>
      <c r="H51" s="154">
        <v>0</v>
      </c>
      <c r="I51" s="154">
        <f>SUM(F51:H51)</f>
        <v>0</v>
      </c>
      <c r="J51" s="602">
        <f>IF(E51&gt;0,(I51-E51)/E51,(IF(I51=0,"N/A",100%)))</f>
        <v>-1</v>
      </c>
      <c r="K51" s="154">
        <f>+'NEW Fall CHP by DISC'!K51/15</f>
        <v>0.26666666666666666</v>
      </c>
      <c r="L51" s="154">
        <f>+'NEW Fall CHP by DISC'!L51/15</f>
        <v>0</v>
      </c>
      <c r="M51" s="154">
        <f>+'NEW Fall CHP by DISC'!M51/12</f>
        <v>0</v>
      </c>
      <c r="N51" s="154">
        <f>SUM(K51:M51)</f>
        <v>0.26666666666666666</v>
      </c>
      <c r="O51" s="602">
        <f>IF(I51&gt;0,(N51-I51)/I51,(IF(N51=0,"N/A",100%)))</f>
        <v>1</v>
      </c>
      <c r="P51" s="154">
        <f>+'NEW Fall CHP by DISC'!P51/15</f>
        <v>0</v>
      </c>
      <c r="Q51" s="154">
        <f>+'NEW Fall CHP by DISC'!Q51/15</f>
        <v>0</v>
      </c>
      <c r="R51" s="154">
        <f>+'NEW Fall CHP by DISC'!R51/12</f>
        <v>0</v>
      </c>
      <c r="S51" s="154">
        <f>SUM(P51:R51)</f>
        <v>0</v>
      </c>
      <c r="T51" s="602">
        <f>IF(N51&gt;0,(S51-N51)/N51,(IF(S51=0,"N/A",100%)))</f>
        <v>-1</v>
      </c>
      <c r="U51" s="154">
        <f>+'NEW Fall CHP by DISC'!U51/15</f>
        <v>0</v>
      </c>
      <c r="V51" s="154">
        <f>+'NEW Fall CHP by DISC'!V51/15</f>
        <v>0</v>
      </c>
      <c r="W51" s="154">
        <f>+'NEW Fall CHP by DISC'!W51/12</f>
        <v>0</v>
      </c>
      <c r="X51" s="154">
        <f>SUM(U51:W51)</f>
        <v>0</v>
      </c>
      <c r="Y51" s="602" t="str">
        <f>IF(S51&gt;0,(X51-S51)/S51,(IF(X51=0,"N/A",100%)))</f>
        <v>N/A</v>
      </c>
      <c r="Z51" s="154">
        <f>+'NEW Fall CHP by DISC'!Z51/15</f>
        <v>0</v>
      </c>
      <c r="AA51" s="154">
        <f>+'NEW Fall CHP by DISC'!AA51/15</f>
        <v>0</v>
      </c>
      <c r="AB51" s="154">
        <f>+'NEW Fall CHP by DISC'!AB51/12</f>
        <v>0</v>
      </c>
      <c r="AC51" s="154">
        <f>SUM(Z51:AB51)</f>
        <v>0</v>
      </c>
      <c r="AD51" s="567" t="str">
        <f>IF(X51&gt;0,(AC51-X51)/X51,(IF(AC51=0,"N/A",100%)))</f>
        <v>N/A</v>
      </c>
      <c r="AE51" s="328"/>
      <c r="AF51" s="328"/>
      <c r="AG51" s="328"/>
      <c r="AH51" s="328"/>
      <c r="AI51" s="328"/>
      <c r="AJ51" s="328"/>
      <c r="AK51" s="328"/>
      <c r="AL51" s="328"/>
    </row>
    <row r="52" spans="1:256" s="575" customFormat="1" ht="13.8" x14ac:dyDescent="0.25">
      <c r="A52" s="570" t="s">
        <v>961</v>
      </c>
      <c r="B52" s="611">
        <f t="shared" ref="B52:I52" si="32">+B51+B50+B49</f>
        <v>66.599999999999994</v>
      </c>
      <c r="C52" s="611">
        <f t="shared" si="32"/>
        <v>25.666666666666668</v>
      </c>
      <c r="D52" s="611">
        <f t="shared" si="32"/>
        <v>7.5</v>
      </c>
      <c r="E52" s="748">
        <f t="shared" si="32"/>
        <v>99.766666666666666</v>
      </c>
      <c r="F52" s="611">
        <f t="shared" si="32"/>
        <v>72.466666666666654</v>
      </c>
      <c r="G52" s="611">
        <f t="shared" si="32"/>
        <v>40.199999999999996</v>
      </c>
      <c r="H52" s="611">
        <f t="shared" si="32"/>
        <v>10.5</v>
      </c>
      <c r="I52" s="611">
        <f t="shared" si="32"/>
        <v>123.16666666666666</v>
      </c>
      <c r="J52" s="731">
        <f>IF(E52&gt;0,(I52-E52)/E52,(IF(I52=0,"N/A",100%)))</f>
        <v>0.23454727697961902</v>
      </c>
      <c r="K52" s="611">
        <f>+K51+K50+K49</f>
        <v>81.2</v>
      </c>
      <c r="L52" s="611">
        <f>+L51+L50+L49</f>
        <v>35.466666666666669</v>
      </c>
      <c r="M52" s="611">
        <f>+M51+M50+M49</f>
        <v>3.75</v>
      </c>
      <c r="N52" s="611">
        <f>+N51+N50+N49</f>
        <v>120.41666666666666</v>
      </c>
      <c r="O52" s="731">
        <f>IF(I52&gt;0,(N52-I52)/I52,(IF(N52=0,"N/A",100%)))</f>
        <v>-2.2327469553450611E-2</v>
      </c>
      <c r="P52" s="611">
        <f>+P51+P50+P49</f>
        <v>105.86666666666666</v>
      </c>
      <c r="Q52" s="611">
        <f>+Q51+Q50+Q49</f>
        <v>26.400000000000002</v>
      </c>
      <c r="R52" s="611">
        <f>+R51+R50+R49</f>
        <v>9</v>
      </c>
      <c r="S52" s="611">
        <f>+S51+S50+S49</f>
        <v>141.26666666666665</v>
      </c>
      <c r="T52" s="731">
        <f>IF(N52&gt;0,(S52-N52)/N52,(IF(S52=0,"N/A",100%)))</f>
        <v>0.1731487889273356</v>
      </c>
      <c r="U52" s="611">
        <f>+U51+U50+U49</f>
        <v>124.73333333333333</v>
      </c>
      <c r="V52" s="611">
        <f>+V51+V50+V49</f>
        <v>30.866666666666667</v>
      </c>
      <c r="W52" s="611">
        <f>+W51+W50+W49</f>
        <v>3.75</v>
      </c>
      <c r="X52" s="611">
        <f>+X51+X50+X49</f>
        <v>159.35</v>
      </c>
      <c r="Y52" s="731">
        <f>IF(S52&gt;0,(X52-S52)/S52,(IF(X52=0,"N/A",100%)))</f>
        <v>0.12800849457291183</v>
      </c>
      <c r="Z52" s="611">
        <f>+Z51+Z50+Z49</f>
        <v>96.399999999999991</v>
      </c>
      <c r="AA52" s="611">
        <f>+AA51+AA50+AA49</f>
        <v>35.733333333333327</v>
      </c>
      <c r="AB52" s="611">
        <f>+AB51+AB50+AB49</f>
        <v>5.25</v>
      </c>
      <c r="AC52" s="611">
        <f>+AC51+AC50+AC49</f>
        <v>137.38333333333333</v>
      </c>
      <c r="AD52" s="614">
        <f>IF(X52&gt;0,(AC52-X52)/X52,(IF(AC52=0,"N/A",100%)))</f>
        <v>-0.13785168915385421</v>
      </c>
    </row>
    <row r="53" spans="1:256" x14ac:dyDescent="0.25">
      <c r="A53" s="576" t="s">
        <v>411</v>
      </c>
      <c r="B53" s="151"/>
      <c r="C53" s="152"/>
      <c r="D53" s="152"/>
      <c r="E53" s="153"/>
      <c r="F53" s="151"/>
      <c r="G53" s="152"/>
      <c r="H53" s="152"/>
      <c r="I53" s="152"/>
      <c r="J53" s="330"/>
      <c r="K53" s="151"/>
      <c r="L53" s="152"/>
      <c r="M53" s="152"/>
      <c r="N53" s="152"/>
      <c r="O53" s="330"/>
      <c r="P53" s="151"/>
      <c r="Q53" s="152"/>
      <c r="R53" s="152"/>
      <c r="S53" s="152"/>
      <c r="T53" s="330"/>
      <c r="U53" s="151"/>
      <c r="V53" s="152"/>
      <c r="W53" s="152"/>
      <c r="X53" s="152"/>
      <c r="Y53" s="330"/>
      <c r="Z53" s="151"/>
      <c r="AA53" s="152"/>
      <c r="AB53" s="152"/>
      <c r="AC53" s="152"/>
      <c r="AD53" s="565"/>
      <c r="AE53" s="328"/>
      <c r="AF53" s="328"/>
      <c r="AG53" s="328"/>
      <c r="AH53" s="328"/>
      <c r="AI53" s="328"/>
      <c r="AJ53" s="328"/>
      <c r="AK53" s="328"/>
      <c r="AL53" s="328"/>
    </row>
    <row r="54" spans="1:256" x14ac:dyDescent="0.25">
      <c r="A54" s="566" t="s">
        <v>978</v>
      </c>
      <c r="B54" s="154">
        <f>+'NEW Fall CHP by DISC'!B54/15</f>
        <v>8.6</v>
      </c>
      <c r="C54" s="154">
        <f>+'NEW Fall CHP by DISC'!C54/15</f>
        <v>8.8000000000000007</v>
      </c>
      <c r="D54" s="154">
        <f>+'NEW Fall CHP by DISC'!D54/12</f>
        <v>0</v>
      </c>
      <c r="E54" s="745">
        <f>SUM(B54:D54)</f>
        <v>17.399999999999999</v>
      </c>
      <c r="F54" s="154">
        <f>+'NEW Fall CHP by DISC'!F54/15</f>
        <v>7.6</v>
      </c>
      <c r="G54" s="154">
        <f>+'NEW Fall CHP by DISC'!G54/15</f>
        <v>9</v>
      </c>
      <c r="H54" s="154">
        <f>+'NEW Fall CHP by DISC'!H54/12</f>
        <v>0</v>
      </c>
      <c r="I54" s="154">
        <f>SUM(F54:H54)</f>
        <v>16.600000000000001</v>
      </c>
      <c r="J54" s="602">
        <f t="shared" ref="J54:J59" si="33">IF(E54&gt;0,(I54-E54)/E54,(IF(I54=0,"N/A",100%)))</f>
        <v>-4.5977011494252713E-2</v>
      </c>
      <c r="K54" s="154">
        <f>+'NEW Fall CHP by DISC'!K54/15</f>
        <v>10.199999999999999</v>
      </c>
      <c r="L54" s="154">
        <f>+'NEW Fall CHP by DISC'!L54/15</f>
        <v>5.6</v>
      </c>
      <c r="M54" s="154">
        <f>+'NEW Fall CHP by DISC'!M54/12</f>
        <v>0</v>
      </c>
      <c r="N54" s="154">
        <f>SUM(K54:M54)</f>
        <v>15.799999999999999</v>
      </c>
      <c r="O54" s="602">
        <f t="shared" ref="O54:O59" si="34">IF(I54&gt;0,(N54-I54)/I54,(IF(N54=0,"N/A",100%)))</f>
        <v>-4.8192771084337498E-2</v>
      </c>
      <c r="P54" s="154">
        <f>+'NEW Fall CHP by DISC'!P54/15</f>
        <v>7.6</v>
      </c>
      <c r="Q54" s="154">
        <f>+'NEW Fall CHP by DISC'!Q54/15</f>
        <v>6.2</v>
      </c>
      <c r="R54" s="154">
        <f>+'NEW Fall CHP by DISC'!R54/12</f>
        <v>0</v>
      </c>
      <c r="S54" s="154">
        <f>SUM(P54:R54)</f>
        <v>13.8</v>
      </c>
      <c r="T54" s="602">
        <f t="shared" ref="T54:T59" si="35">IF(N54&gt;0,(S54-N54)/N54,(IF(S54=0,"N/A",100%)))</f>
        <v>-0.12658227848101256</v>
      </c>
      <c r="U54" s="154">
        <f>+'NEW Fall CHP by DISC'!U54/15</f>
        <v>9.8000000000000007</v>
      </c>
      <c r="V54" s="154">
        <f>+'NEW Fall CHP by DISC'!V54/15</f>
        <v>4.2</v>
      </c>
      <c r="W54" s="154">
        <f>+'NEW Fall CHP by DISC'!W54/12</f>
        <v>0</v>
      </c>
      <c r="X54" s="154">
        <f>SUM(U54:W54)</f>
        <v>14</v>
      </c>
      <c r="Y54" s="602">
        <f t="shared" ref="Y54:Y59" si="36">IF(S54&gt;0,(X54-S54)/S54,(IF(X54=0,"N/A",100%)))</f>
        <v>1.4492753623188354E-2</v>
      </c>
      <c r="Z54" s="154">
        <f>+'NEW Fall CHP by DISC'!Z54/15</f>
        <v>5</v>
      </c>
      <c r="AA54" s="154">
        <f>+'NEW Fall CHP by DISC'!AA54/15</f>
        <v>6.8</v>
      </c>
      <c r="AB54" s="154">
        <f>+'NEW Fall CHP by DISC'!AB54/12</f>
        <v>0</v>
      </c>
      <c r="AC54" s="154">
        <f>SUM(Z54:AB54)</f>
        <v>11.8</v>
      </c>
      <c r="AD54" s="567">
        <f t="shared" ref="AD54:AD59" si="37">IF(X54&gt;0,(AC54-X54)/X54,(IF(AC54=0,"N/A",100%)))</f>
        <v>-0.15714285714285708</v>
      </c>
      <c r="AE54" s="328"/>
      <c r="AF54" s="328"/>
      <c r="AG54" s="328"/>
      <c r="AH54" s="328"/>
      <c r="AI54" s="328"/>
      <c r="AJ54" s="328"/>
      <c r="AK54" s="328"/>
      <c r="AL54" s="328"/>
    </row>
    <row r="55" spans="1:256" x14ac:dyDescent="0.25">
      <c r="A55" s="566" t="s">
        <v>981</v>
      </c>
      <c r="B55" s="154">
        <f>+'NEW Fall CHP by DISC'!B55/15</f>
        <v>0</v>
      </c>
      <c r="C55" s="154">
        <f>+'NEW Fall CHP by DISC'!C55/15</f>
        <v>0.73333333333333328</v>
      </c>
      <c r="D55" s="154">
        <f>+'NEW Fall CHP by DISC'!D55/12</f>
        <v>0</v>
      </c>
      <c r="E55" s="745">
        <f>SUM(B55:D55)</f>
        <v>0.73333333333333328</v>
      </c>
      <c r="F55" s="154">
        <f>+'NEW Fall CHP by DISC'!F55/15</f>
        <v>0</v>
      </c>
      <c r="G55" s="154">
        <f>+'NEW Fall CHP by DISC'!G55/15</f>
        <v>1.7333333333333334</v>
      </c>
      <c r="H55" s="154">
        <f>+'NEW Fall CHP by DISC'!H55/12</f>
        <v>0</v>
      </c>
      <c r="I55" s="154">
        <f>SUM(F55:H55)</f>
        <v>1.7333333333333334</v>
      </c>
      <c r="J55" s="602">
        <f t="shared" si="33"/>
        <v>1.3636363636363638</v>
      </c>
      <c r="K55" s="154">
        <f>+'NEW Fall CHP by DISC'!K55/15</f>
        <v>0</v>
      </c>
      <c r="L55" s="154">
        <f>+'NEW Fall CHP by DISC'!L55/15</f>
        <v>1.2666666666666666</v>
      </c>
      <c r="M55" s="154">
        <f>+'NEW Fall CHP by DISC'!M55/12</f>
        <v>0</v>
      </c>
      <c r="N55" s="154">
        <f>SUM(K55:M55)</f>
        <v>1.2666666666666666</v>
      </c>
      <c r="O55" s="602">
        <f t="shared" si="34"/>
        <v>-0.26923076923076927</v>
      </c>
      <c r="P55" s="154">
        <f>+'NEW Fall CHP by DISC'!P55/15</f>
        <v>5</v>
      </c>
      <c r="Q55" s="154">
        <f>+'NEW Fall CHP by DISC'!Q55/15</f>
        <v>0.8666666666666667</v>
      </c>
      <c r="R55" s="154">
        <f>+'NEW Fall CHP by DISC'!R55/12</f>
        <v>0</v>
      </c>
      <c r="S55" s="154">
        <f>SUM(P55:R55)</f>
        <v>5.8666666666666671</v>
      </c>
      <c r="T55" s="602">
        <f t="shared" si="35"/>
        <v>3.6315789473684217</v>
      </c>
      <c r="U55" s="154">
        <f>+'NEW Fall CHP by DISC'!U55/15</f>
        <v>8.6</v>
      </c>
      <c r="V55" s="154">
        <f>+'NEW Fall CHP by DISC'!V55/15</f>
        <v>1.2666666666666666</v>
      </c>
      <c r="W55" s="154">
        <f>+'NEW Fall CHP by DISC'!W55/12</f>
        <v>0</v>
      </c>
      <c r="X55" s="154">
        <f>SUM(U55:W55)</f>
        <v>9.8666666666666671</v>
      </c>
      <c r="Y55" s="602">
        <f t="shared" si="36"/>
        <v>0.68181818181818177</v>
      </c>
      <c r="Z55" s="154">
        <f>+'NEW Fall CHP by DISC'!Z55/15</f>
        <v>7</v>
      </c>
      <c r="AA55" s="154">
        <f>+'NEW Fall CHP by DISC'!AA55/15</f>
        <v>0.53333333333333333</v>
      </c>
      <c r="AB55" s="154">
        <f>+'NEW Fall CHP by DISC'!AB55/12</f>
        <v>0</v>
      </c>
      <c r="AC55" s="154">
        <f>SUM(Z55:AB55)</f>
        <v>7.5333333333333332</v>
      </c>
      <c r="AD55" s="567">
        <f t="shared" si="37"/>
        <v>-0.23648648648648654</v>
      </c>
      <c r="AE55" s="328"/>
      <c r="AF55" s="328"/>
      <c r="AG55" s="328"/>
      <c r="AH55" s="328"/>
      <c r="AI55" s="328"/>
      <c r="AJ55" s="328"/>
      <c r="AK55" s="328"/>
      <c r="AL55" s="328"/>
    </row>
    <row r="56" spans="1:256" x14ac:dyDescent="0.25">
      <c r="A56" s="566" t="s">
        <v>982</v>
      </c>
      <c r="B56" s="154">
        <f>+'NEW Fall CHP by DISC'!B56/15</f>
        <v>14.2</v>
      </c>
      <c r="C56" s="154">
        <f>+'NEW Fall CHP by DISC'!C56/15</f>
        <v>21.8</v>
      </c>
      <c r="D56" s="154">
        <f>+'NEW Fall CHP by DISC'!D56/12</f>
        <v>0</v>
      </c>
      <c r="E56" s="745">
        <f>SUM(B56:D56)</f>
        <v>36</v>
      </c>
      <c r="F56" s="154">
        <f>+'NEW Fall CHP by DISC'!F56/15</f>
        <v>14.4</v>
      </c>
      <c r="G56" s="154">
        <f>+'NEW Fall CHP by DISC'!G56/15</f>
        <v>23.2</v>
      </c>
      <c r="H56" s="154">
        <f>+'NEW Fall CHP by DISC'!H56/12</f>
        <v>0</v>
      </c>
      <c r="I56" s="154">
        <f>SUM(F56:H56)</f>
        <v>37.6</v>
      </c>
      <c r="J56" s="602">
        <f t="shared" si="33"/>
        <v>4.4444444444444481E-2</v>
      </c>
      <c r="K56" s="154">
        <f>+'NEW Fall CHP by DISC'!K56/15</f>
        <v>18.8</v>
      </c>
      <c r="L56" s="154">
        <f>+'NEW Fall CHP by DISC'!L56/15</f>
        <v>26.2</v>
      </c>
      <c r="M56" s="154">
        <f>+'NEW Fall CHP by DISC'!M56/12</f>
        <v>0</v>
      </c>
      <c r="N56" s="154">
        <f>SUM(K56:M56)</f>
        <v>45</v>
      </c>
      <c r="O56" s="602">
        <f t="shared" si="34"/>
        <v>0.19680851063829782</v>
      </c>
      <c r="P56" s="154">
        <f>+'NEW Fall CHP by DISC'!P56/15</f>
        <v>29.4</v>
      </c>
      <c r="Q56" s="154">
        <f>+'NEW Fall CHP by DISC'!Q56/15</f>
        <v>26.6</v>
      </c>
      <c r="R56" s="154">
        <f>+'NEW Fall CHP by DISC'!R56/12</f>
        <v>0</v>
      </c>
      <c r="S56" s="154">
        <f>SUM(P56:R56)</f>
        <v>56</v>
      </c>
      <c r="T56" s="602">
        <f t="shared" si="35"/>
        <v>0.24444444444444444</v>
      </c>
      <c r="U56" s="154">
        <f>+'NEW Fall CHP by DISC'!U56/15</f>
        <v>31.8</v>
      </c>
      <c r="V56" s="154">
        <f>+'NEW Fall CHP by DISC'!V56/15</f>
        <v>28.4</v>
      </c>
      <c r="W56" s="154">
        <f>+'NEW Fall CHP by DISC'!W56/12</f>
        <v>0</v>
      </c>
      <c r="X56" s="154">
        <f>SUM(U56:W56)</f>
        <v>60.2</v>
      </c>
      <c r="Y56" s="602">
        <f t="shared" si="36"/>
        <v>7.5000000000000053E-2</v>
      </c>
      <c r="Z56" s="154">
        <f>+'NEW Fall CHP by DISC'!Z56/15</f>
        <v>34.4</v>
      </c>
      <c r="AA56" s="154">
        <f>+'NEW Fall CHP by DISC'!AA56/15</f>
        <v>23.4</v>
      </c>
      <c r="AB56" s="154">
        <f>+'NEW Fall CHP by DISC'!AB56/12</f>
        <v>0</v>
      </c>
      <c r="AC56" s="154">
        <f>SUM(Z56:AB56)</f>
        <v>57.8</v>
      </c>
      <c r="AD56" s="567">
        <f t="shared" si="37"/>
        <v>-3.986710963455159E-2</v>
      </c>
      <c r="AE56" s="328"/>
      <c r="AF56" s="328"/>
      <c r="AG56" s="328"/>
      <c r="AH56" s="328"/>
      <c r="AI56" s="328"/>
      <c r="AJ56" s="328"/>
      <c r="AK56" s="328"/>
      <c r="AL56" s="328"/>
    </row>
    <row r="57" spans="1:256" x14ac:dyDescent="0.25">
      <c r="A57" s="566" t="s">
        <v>985</v>
      </c>
      <c r="B57" s="154">
        <f>+'NEW Fall CHP by DISC'!B57/15</f>
        <v>25.8</v>
      </c>
      <c r="C57" s="154">
        <f>+'NEW Fall CHP by DISC'!C57/15</f>
        <v>0</v>
      </c>
      <c r="D57" s="154">
        <f>+'NEW Fall CHP by DISC'!D57/12</f>
        <v>0</v>
      </c>
      <c r="E57" s="745">
        <f>SUM(B57:D57)</f>
        <v>25.8</v>
      </c>
      <c r="F57" s="154">
        <f>+'NEW Fall CHP by DISC'!F57/15</f>
        <v>30.6</v>
      </c>
      <c r="G57" s="154">
        <f>+'NEW Fall CHP by DISC'!G57/15</f>
        <v>0</v>
      </c>
      <c r="H57" s="154">
        <f>+'NEW Fall CHP by DISC'!H57/12</f>
        <v>0</v>
      </c>
      <c r="I57" s="154">
        <f>SUM(F57:H57)</f>
        <v>30.6</v>
      </c>
      <c r="J57" s="602">
        <f t="shared" si="33"/>
        <v>0.186046511627907</v>
      </c>
      <c r="K57" s="154">
        <f>+'NEW Fall CHP by DISC'!K57/15</f>
        <v>43.6</v>
      </c>
      <c r="L57" s="154">
        <f>+'NEW Fall CHP by DISC'!L57/15</f>
        <v>0</v>
      </c>
      <c r="M57" s="154">
        <f>+'NEW Fall CHP by DISC'!M57/12</f>
        <v>0</v>
      </c>
      <c r="N57" s="154">
        <f>SUM(K57:M57)</f>
        <v>43.6</v>
      </c>
      <c r="O57" s="602">
        <f t="shared" si="34"/>
        <v>0.42483660130718953</v>
      </c>
      <c r="P57" s="154">
        <f>+'NEW Fall CHP by DISC'!P57/15</f>
        <v>46.6</v>
      </c>
      <c r="Q57" s="154">
        <f>+'NEW Fall CHP by DISC'!Q57/15</f>
        <v>0</v>
      </c>
      <c r="R57" s="154">
        <f>+'NEW Fall CHP by DISC'!R57/12</f>
        <v>0</v>
      </c>
      <c r="S57" s="154">
        <f>SUM(P57:R57)</f>
        <v>46.6</v>
      </c>
      <c r="T57" s="602">
        <f t="shared" si="35"/>
        <v>6.8807339449541288E-2</v>
      </c>
      <c r="U57" s="154">
        <f>+'NEW Fall CHP by DISC'!U57/15</f>
        <v>30.6</v>
      </c>
      <c r="V57" s="154">
        <f>+'NEW Fall CHP by DISC'!V57/15</f>
        <v>0</v>
      </c>
      <c r="W57" s="154">
        <f>+'NEW Fall CHP by DISC'!W57/12</f>
        <v>0</v>
      </c>
      <c r="X57" s="154">
        <f>SUM(U57:W57)</f>
        <v>30.6</v>
      </c>
      <c r="Y57" s="602">
        <f t="shared" si="36"/>
        <v>-0.34334763948497854</v>
      </c>
      <c r="Z57" s="154">
        <f>+'NEW Fall CHP by DISC'!Z57/15</f>
        <v>38.6</v>
      </c>
      <c r="AA57" s="154">
        <f>+'NEW Fall CHP by DISC'!AA57/15</f>
        <v>0</v>
      </c>
      <c r="AB57" s="154">
        <f>+'NEW Fall CHP by DISC'!AB57/12</f>
        <v>0</v>
      </c>
      <c r="AC57" s="154">
        <f>SUM(Z57:AB57)</f>
        <v>38.6</v>
      </c>
      <c r="AD57" s="567">
        <f t="shared" si="37"/>
        <v>0.26143790849673204</v>
      </c>
      <c r="AE57" s="328"/>
      <c r="AF57" s="328"/>
      <c r="AG57" s="328"/>
      <c r="AH57" s="328"/>
      <c r="AI57" s="328"/>
      <c r="AJ57" s="328"/>
      <c r="AK57" s="328"/>
      <c r="AL57" s="328"/>
    </row>
    <row r="58" spans="1:256" x14ac:dyDescent="0.25">
      <c r="A58" s="566" t="s">
        <v>986</v>
      </c>
      <c r="B58" s="154">
        <f>+'NEW Fall CHP by DISC'!B58/15</f>
        <v>22.6</v>
      </c>
      <c r="C58" s="154">
        <f>+'NEW Fall CHP by DISC'!C58/15</f>
        <v>5.333333333333333</v>
      </c>
      <c r="D58" s="154">
        <f>+'NEW Fall CHP by DISC'!D58/12</f>
        <v>0</v>
      </c>
      <c r="E58" s="745">
        <f>SUM(B58:D58)</f>
        <v>27.933333333333334</v>
      </c>
      <c r="F58" s="154">
        <f>+'NEW Fall CHP by DISC'!F58/15</f>
        <v>32.733333333333334</v>
      </c>
      <c r="G58" s="154">
        <f>+'NEW Fall CHP by DISC'!G58/15</f>
        <v>7.0666666666666664</v>
      </c>
      <c r="H58" s="154">
        <f>+'NEW Fall CHP by DISC'!H58/12</f>
        <v>0</v>
      </c>
      <c r="I58" s="154">
        <f>SUM(F58:H58)</f>
        <v>39.799999999999997</v>
      </c>
      <c r="J58" s="602">
        <f t="shared" si="33"/>
        <v>0.42482100238663473</v>
      </c>
      <c r="K58" s="154">
        <f>+'NEW Fall CHP by DISC'!K58/15</f>
        <v>34.666666666666664</v>
      </c>
      <c r="L58" s="154">
        <f>+'NEW Fall CHP by DISC'!L58/15</f>
        <v>8.2666666666666675</v>
      </c>
      <c r="M58" s="154">
        <f>+'NEW Fall CHP by DISC'!M58/12</f>
        <v>0</v>
      </c>
      <c r="N58" s="154">
        <f>SUM(K58:M58)</f>
        <v>42.93333333333333</v>
      </c>
      <c r="O58" s="602">
        <f t="shared" si="34"/>
        <v>7.8726968174204354E-2</v>
      </c>
      <c r="P58" s="154">
        <f>+'NEW Fall CHP by DISC'!P58/15</f>
        <v>31.6</v>
      </c>
      <c r="Q58" s="154">
        <f>+'NEW Fall CHP by DISC'!Q58/15</f>
        <v>11.8</v>
      </c>
      <c r="R58" s="154">
        <f>+'NEW Fall CHP by DISC'!R58/12</f>
        <v>0</v>
      </c>
      <c r="S58" s="154">
        <f>SUM(P58:R58)</f>
        <v>43.400000000000006</v>
      </c>
      <c r="T58" s="602">
        <f t="shared" si="35"/>
        <v>1.0869565217391516E-2</v>
      </c>
      <c r="U58" s="154">
        <f>+'NEW Fall CHP by DISC'!U58/15</f>
        <v>34.200000000000003</v>
      </c>
      <c r="V58" s="154">
        <f>+'NEW Fall CHP by DISC'!V58/15</f>
        <v>10.133333333333333</v>
      </c>
      <c r="W58" s="154">
        <f>+'NEW Fall CHP by DISC'!W58/12</f>
        <v>0</v>
      </c>
      <c r="X58" s="154">
        <f>SUM(U58:W58)</f>
        <v>44.333333333333336</v>
      </c>
      <c r="Y58" s="602">
        <f t="shared" si="36"/>
        <v>2.1505376344085943E-2</v>
      </c>
      <c r="Z58" s="154">
        <f>+'NEW Fall CHP by DISC'!Z58/15</f>
        <v>35.200000000000003</v>
      </c>
      <c r="AA58" s="154">
        <f>+'NEW Fall CHP by DISC'!AA58/15</f>
        <v>6.9333333333333336</v>
      </c>
      <c r="AB58" s="154">
        <f>+'NEW Fall CHP by DISC'!AB58/12</f>
        <v>0</v>
      </c>
      <c r="AC58" s="154">
        <f>SUM(Z58:AB58)</f>
        <v>42.13333333333334</v>
      </c>
      <c r="AD58" s="567">
        <f t="shared" si="37"/>
        <v>-4.9624060150375841E-2</v>
      </c>
      <c r="AE58" s="328"/>
      <c r="AF58" s="328"/>
      <c r="AG58" s="328"/>
      <c r="AH58" s="328"/>
      <c r="AI58" s="328"/>
      <c r="AJ58" s="328"/>
      <c r="AK58" s="328"/>
      <c r="AL58" s="328"/>
    </row>
    <row r="59" spans="1:256" s="575" customFormat="1" ht="13.8" x14ac:dyDescent="0.25">
      <c r="A59" s="570" t="s">
        <v>961</v>
      </c>
      <c r="B59" s="611">
        <f t="shared" ref="B59:I59" si="38">SUM(B54:B58)</f>
        <v>71.199999999999989</v>
      </c>
      <c r="C59" s="611">
        <f t="shared" si="38"/>
        <v>36.666666666666671</v>
      </c>
      <c r="D59" s="611">
        <f t="shared" si="38"/>
        <v>0</v>
      </c>
      <c r="E59" s="748">
        <f t="shared" si="38"/>
        <v>107.86666666666667</v>
      </c>
      <c r="F59" s="611">
        <f t="shared" si="38"/>
        <v>85.333333333333343</v>
      </c>
      <c r="G59" s="611">
        <f t="shared" si="38"/>
        <v>41</v>
      </c>
      <c r="H59" s="611">
        <f t="shared" si="38"/>
        <v>0</v>
      </c>
      <c r="I59" s="611">
        <f t="shared" si="38"/>
        <v>126.33333333333333</v>
      </c>
      <c r="J59" s="731">
        <f t="shared" si="33"/>
        <v>0.17119901112484537</v>
      </c>
      <c r="K59" s="611">
        <f>SUM(K54:K58)</f>
        <v>107.26666666666665</v>
      </c>
      <c r="L59" s="611">
        <f>SUM(L54:L58)</f>
        <v>41.333333333333329</v>
      </c>
      <c r="M59" s="611">
        <f>SUM(M54:M58)</f>
        <v>0</v>
      </c>
      <c r="N59" s="611">
        <f>SUM(N54:N58)</f>
        <v>148.6</v>
      </c>
      <c r="O59" s="731">
        <f t="shared" si="34"/>
        <v>0.17625329815303431</v>
      </c>
      <c r="P59" s="611">
        <f>SUM(P54:P58)</f>
        <v>120.19999999999999</v>
      </c>
      <c r="Q59" s="611">
        <f>SUM(Q54:Q58)</f>
        <v>45.466666666666669</v>
      </c>
      <c r="R59" s="611">
        <f>SUM(R54:R58)</f>
        <v>0</v>
      </c>
      <c r="S59" s="611">
        <f>SUM(S54:S58)</f>
        <v>165.66666666666669</v>
      </c>
      <c r="T59" s="731">
        <f t="shared" si="35"/>
        <v>0.11484970838941247</v>
      </c>
      <c r="U59" s="611">
        <f>SUM(U54:U58)</f>
        <v>115.00000000000001</v>
      </c>
      <c r="V59" s="611">
        <f>SUM(V54:V58)</f>
        <v>44</v>
      </c>
      <c r="W59" s="611">
        <f>SUM(W54:W58)</f>
        <v>0</v>
      </c>
      <c r="X59" s="611">
        <f>SUM(X54:X58)</f>
        <v>159</v>
      </c>
      <c r="Y59" s="731">
        <f t="shared" si="36"/>
        <v>-4.0241448692153028E-2</v>
      </c>
      <c r="Z59" s="611">
        <f>SUM(Z54:Z58)</f>
        <v>120.2</v>
      </c>
      <c r="AA59" s="611">
        <f>SUM(AA54:AA58)</f>
        <v>37.666666666666664</v>
      </c>
      <c r="AB59" s="611">
        <f>SUM(AB54:AB58)</f>
        <v>0</v>
      </c>
      <c r="AC59" s="611">
        <f>SUM(AC54:AC58)</f>
        <v>157.86666666666667</v>
      </c>
      <c r="AD59" s="614">
        <f t="shared" si="37"/>
        <v>-7.1278825995806649E-3</v>
      </c>
    </row>
    <row r="60" spans="1:256" x14ac:dyDescent="0.25">
      <c r="A60" s="576" t="s">
        <v>413</v>
      </c>
      <c r="B60" s="151"/>
      <c r="C60" s="152"/>
      <c r="D60" s="152"/>
      <c r="E60" s="153"/>
      <c r="F60" s="151"/>
      <c r="G60" s="152"/>
      <c r="H60" s="152"/>
      <c r="I60" s="152"/>
      <c r="J60" s="330"/>
      <c r="K60" s="151"/>
      <c r="L60" s="152"/>
      <c r="M60" s="152"/>
      <c r="N60" s="152"/>
      <c r="O60" s="330"/>
      <c r="P60" s="151"/>
      <c r="Q60" s="152"/>
      <c r="R60" s="152"/>
      <c r="S60" s="152"/>
      <c r="T60" s="330"/>
      <c r="U60" s="151"/>
      <c r="V60" s="152"/>
      <c r="W60" s="152"/>
      <c r="X60" s="152"/>
      <c r="Y60" s="330"/>
      <c r="Z60" s="151"/>
      <c r="AA60" s="152"/>
      <c r="AB60" s="152"/>
      <c r="AC60" s="152"/>
      <c r="AD60" s="565"/>
      <c r="AE60" s="328"/>
      <c r="AF60" s="328"/>
      <c r="AG60" s="328"/>
      <c r="AH60" s="328"/>
      <c r="AI60" s="328"/>
      <c r="AJ60" s="328"/>
      <c r="AK60" s="328"/>
      <c r="AL60" s="328"/>
    </row>
    <row r="61" spans="1:256" x14ac:dyDescent="0.25">
      <c r="A61" s="566" t="s">
        <v>983</v>
      </c>
      <c r="B61" s="154">
        <f>+'NEW Fall CHP by DISC'!B61/15</f>
        <v>2.9333333333333331</v>
      </c>
      <c r="C61" s="154">
        <f>+'NEW Fall CHP by DISC'!C61/15</f>
        <v>1.0666666666666667</v>
      </c>
      <c r="D61" s="154">
        <f>+'NEW Fall CHP by DISC'!D61/12</f>
        <v>0</v>
      </c>
      <c r="E61" s="745">
        <f>SUM(B61:D61)</f>
        <v>4</v>
      </c>
      <c r="F61" s="154">
        <f>+'NEW Fall CHP by DISC'!F61/15</f>
        <v>2.8666666666666667</v>
      </c>
      <c r="G61" s="154">
        <f>+'NEW Fall CHP by DISC'!G61/15</f>
        <v>1.7333333333333334</v>
      </c>
      <c r="H61" s="154">
        <f>+'NEW Fall CHP by DISC'!H61/12</f>
        <v>0</v>
      </c>
      <c r="I61" s="154">
        <f>SUM(F61:H61)</f>
        <v>4.5999999999999996</v>
      </c>
      <c r="J61" s="602">
        <f t="shared" ref="J61:J66" si="39">IF(E61&gt;0,(I61-E61)/E61,(IF(I61=0,"N/A",100%)))</f>
        <v>0.14999999999999991</v>
      </c>
      <c r="K61" s="154">
        <f>+'NEW Fall CHP by DISC'!K61/15</f>
        <v>2.6666666666666665</v>
      </c>
      <c r="L61" s="154">
        <f>+'NEW Fall CHP by DISC'!L61/15</f>
        <v>1.7333333333333334</v>
      </c>
      <c r="M61" s="154">
        <f>+'NEW Fall CHP by DISC'!M61/12</f>
        <v>0</v>
      </c>
      <c r="N61" s="154">
        <f>SUM(K61:M61)</f>
        <v>4.4000000000000004</v>
      </c>
      <c r="O61" s="602">
        <f t="shared" ref="O61:O66" si="40">IF(I61&gt;0,(N61-I61)/I61,(IF(N61=0,"N/A",100%)))</f>
        <v>-4.3478260869565064E-2</v>
      </c>
      <c r="P61" s="154">
        <f>+'NEW Fall CHP by DISC'!P61/15</f>
        <v>2.2000000000000002</v>
      </c>
      <c r="Q61" s="154">
        <f>+'NEW Fall CHP by DISC'!Q61/15</f>
        <v>1.4</v>
      </c>
      <c r="R61" s="154">
        <f>+'NEW Fall CHP by DISC'!R61/12</f>
        <v>0</v>
      </c>
      <c r="S61" s="154">
        <f>SUM(P61:R61)</f>
        <v>3.6</v>
      </c>
      <c r="T61" s="602">
        <f t="shared" ref="T61:T66" si="41">IF(N61&gt;0,(S61-N61)/N61,(IF(S61=0,"N/A",100%)))</f>
        <v>-0.18181818181818185</v>
      </c>
      <c r="U61" s="154">
        <f>+'NEW Fall CHP by DISC'!U61/15</f>
        <v>2.9333333333333331</v>
      </c>
      <c r="V61" s="154">
        <f>+'NEW Fall CHP by DISC'!V61/15</f>
        <v>1.0666666666666667</v>
      </c>
      <c r="W61" s="154">
        <f>+'NEW Fall CHP by DISC'!W61/12</f>
        <v>0</v>
      </c>
      <c r="X61" s="154">
        <f>SUM(U61:W61)</f>
        <v>4</v>
      </c>
      <c r="Y61" s="602">
        <f t="shared" ref="Y61:Y66" si="42">IF(S61&gt;0,(X61-S61)/S61,(IF(X61=0,"N/A",100%)))</f>
        <v>0.11111111111111108</v>
      </c>
      <c r="Z61" s="154">
        <f>+'NEW Fall CHP by DISC'!Z61/15</f>
        <v>0</v>
      </c>
      <c r="AA61" s="154">
        <f>+'NEW Fall CHP by DISC'!AA61/15</f>
        <v>0</v>
      </c>
      <c r="AB61" s="154">
        <f>+'NEW Fall CHP by DISC'!AB61/12</f>
        <v>0</v>
      </c>
      <c r="AC61" s="154">
        <f>SUM(Z61:AB61)</f>
        <v>0</v>
      </c>
      <c r="AD61" s="567">
        <f t="shared" ref="AD61:AD66" si="43">IF(X61&gt;0,(AC61-X61)/X61,(IF(AC61=0,"N/A",100%)))</f>
        <v>-1</v>
      </c>
      <c r="AE61" s="328"/>
      <c r="AF61" s="328"/>
      <c r="AG61" s="328"/>
      <c r="AH61" s="328"/>
      <c r="AI61" s="328"/>
      <c r="AJ61" s="328"/>
      <c r="AK61" s="328"/>
      <c r="AL61" s="328"/>
    </row>
    <row r="62" spans="1:256" x14ac:dyDescent="0.25">
      <c r="A62" s="566" t="s">
        <v>984</v>
      </c>
      <c r="B62" s="154">
        <f>+'NEW Fall CHP by DISC'!B62/15</f>
        <v>51.733333333333334</v>
      </c>
      <c r="C62" s="154">
        <f>+'NEW Fall CHP by DISC'!C62/15</f>
        <v>15.866666666666667</v>
      </c>
      <c r="D62" s="154">
        <f>+'NEW Fall CHP by DISC'!D62/12</f>
        <v>0</v>
      </c>
      <c r="E62" s="745">
        <f>SUM(B62:D62)</f>
        <v>67.599999999999994</v>
      </c>
      <c r="F62" s="154">
        <f>+'NEW Fall CHP by DISC'!F62/15</f>
        <v>54.266666666666666</v>
      </c>
      <c r="G62" s="154">
        <f>+'NEW Fall CHP by DISC'!G62/15</f>
        <v>15.866666666666667</v>
      </c>
      <c r="H62" s="154">
        <f>+'NEW Fall CHP by DISC'!H62/12</f>
        <v>0</v>
      </c>
      <c r="I62" s="154">
        <f>SUM(F62:H62)</f>
        <v>70.133333333333326</v>
      </c>
      <c r="J62" s="602">
        <f t="shared" si="39"/>
        <v>3.7475345167652836E-2</v>
      </c>
      <c r="K62" s="154">
        <f>+'NEW Fall CHP by DISC'!K62/15</f>
        <v>74.86666666666666</v>
      </c>
      <c r="L62" s="154">
        <f>+'NEW Fall CHP by DISC'!L62/15</f>
        <v>16.466666666666665</v>
      </c>
      <c r="M62" s="154">
        <f>+'NEW Fall CHP by DISC'!M62/12</f>
        <v>0</v>
      </c>
      <c r="N62" s="154">
        <f>SUM(K62:M62)</f>
        <v>91.333333333333329</v>
      </c>
      <c r="O62" s="602">
        <f t="shared" si="40"/>
        <v>0.30228136882129286</v>
      </c>
      <c r="P62" s="154">
        <f>+'NEW Fall CHP by DISC'!P62/15</f>
        <v>69.13333333333334</v>
      </c>
      <c r="Q62" s="154">
        <f>+'NEW Fall CHP by DISC'!Q62/15</f>
        <v>15.666666666666666</v>
      </c>
      <c r="R62" s="154">
        <f>+'NEW Fall CHP by DISC'!R62/12</f>
        <v>0</v>
      </c>
      <c r="S62" s="154">
        <f>SUM(P62:R62)</f>
        <v>84.800000000000011</v>
      </c>
      <c r="T62" s="602">
        <f t="shared" si="41"/>
        <v>-7.1532846715328294E-2</v>
      </c>
      <c r="U62" s="154">
        <f>+'NEW Fall CHP by DISC'!U62/15</f>
        <v>62.866666666666667</v>
      </c>
      <c r="V62" s="154">
        <f>+'NEW Fall CHP by DISC'!V62/15</f>
        <v>14.066666666666666</v>
      </c>
      <c r="W62" s="154">
        <f>+'NEW Fall CHP by DISC'!W62/12</f>
        <v>0</v>
      </c>
      <c r="X62" s="154">
        <f>SUM(U62:W62)</f>
        <v>76.933333333333337</v>
      </c>
      <c r="Y62" s="602">
        <f t="shared" si="42"/>
        <v>-9.2767295597484353E-2</v>
      </c>
      <c r="Z62" s="154">
        <f>+'NEW Fall CHP by DISC'!Z62/15</f>
        <v>58.4</v>
      </c>
      <c r="AA62" s="154">
        <f>+'NEW Fall CHP by DISC'!AA62/15</f>
        <v>12.666666666666666</v>
      </c>
      <c r="AB62" s="154">
        <f>+'NEW Fall CHP by DISC'!AB62/12</f>
        <v>0</v>
      </c>
      <c r="AC62" s="154">
        <f>SUM(Z62:AB62)</f>
        <v>71.066666666666663</v>
      </c>
      <c r="AD62" s="567">
        <f t="shared" si="43"/>
        <v>-7.6256499133448966E-2</v>
      </c>
      <c r="AE62" s="328"/>
      <c r="AF62" s="328"/>
      <c r="AG62" s="328"/>
      <c r="AH62" s="328"/>
      <c r="AI62" s="328"/>
      <c r="AJ62" s="328"/>
      <c r="AK62" s="328"/>
      <c r="AL62" s="328"/>
    </row>
    <row r="63" spans="1:256" x14ac:dyDescent="0.25">
      <c r="A63" s="566" t="s">
        <v>1518</v>
      </c>
      <c r="B63" s="154">
        <f>+'NEW Fall CHP by DISC'!B63/15</f>
        <v>0</v>
      </c>
      <c r="C63" s="154">
        <f>+'NEW Fall CHP by DISC'!C63/15</f>
        <v>0</v>
      </c>
      <c r="D63" s="154">
        <f>+'NEW Fall CHP by DISC'!D63/12</f>
        <v>0</v>
      </c>
      <c r="E63" s="745">
        <f>SUM(B63:D63)</f>
        <v>0</v>
      </c>
      <c r="F63" s="154">
        <f>+'NEW Fall CHP by DISC'!F63/15</f>
        <v>0</v>
      </c>
      <c r="G63" s="154">
        <f>+'NEW Fall CHP by DISC'!G63/15</f>
        <v>0</v>
      </c>
      <c r="H63" s="154">
        <f>+'NEW Fall CHP by DISC'!H63/12</f>
        <v>0</v>
      </c>
      <c r="I63" s="154">
        <f>SUM(F63:H63)</f>
        <v>0</v>
      </c>
      <c r="J63" s="602" t="str">
        <f t="shared" si="39"/>
        <v>N/A</v>
      </c>
      <c r="K63" s="154">
        <f>+'NEW Fall CHP by DISC'!K63/15</f>
        <v>0</v>
      </c>
      <c r="L63" s="154">
        <f>+'NEW Fall CHP by DISC'!L63/15</f>
        <v>0</v>
      </c>
      <c r="M63" s="154">
        <f>+'NEW Fall CHP by DISC'!M63/12</f>
        <v>0</v>
      </c>
      <c r="N63" s="154">
        <f>SUM(K63:M63)</f>
        <v>0</v>
      </c>
      <c r="O63" s="602" t="str">
        <f t="shared" si="40"/>
        <v>N/A</v>
      </c>
      <c r="P63" s="154">
        <f>+'NEW Fall CHP by DISC'!P63/15</f>
        <v>0</v>
      </c>
      <c r="Q63" s="154">
        <f>+'NEW Fall CHP by DISC'!Q63/15</f>
        <v>0</v>
      </c>
      <c r="R63" s="154">
        <f>+'NEW Fall CHP by DISC'!R63/12</f>
        <v>0</v>
      </c>
      <c r="S63" s="154">
        <f>SUM(P63:R63)</f>
        <v>0</v>
      </c>
      <c r="T63" s="602" t="str">
        <f t="shared" si="41"/>
        <v>N/A</v>
      </c>
      <c r="U63" s="154">
        <f>+'NEW Fall CHP by DISC'!U63/15</f>
        <v>0</v>
      </c>
      <c r="V63" s="154">
        <f>+'NEW Fall CHP by DISC'!V63/15</f>
        <v>0</v>
      </c>
      <c r="W63" s="154">
        <f>+'NEW Fall CHP by DISC'!W63/12</f>
        <v>0</v>
      </c>
      <c r="X63" s="154">
        <f>SUM(U63:W63)</f>
        <v>0</v>
      </c>
      <c r="Y63" s="602" t="str">
        <f t="shared" si="42"/>
        <v>N/A</v>
      </c>
      <c r="Z63" s="154">
        <f>+'NEW Fall CHP by DISC'!Z63/15</f>
        <v>0.66666666666666663</v>
      </c>
      <c r="AA63" s="154">
        <f>+'NEW Fall CHP by DISC'!AA63/15</f>
        <v>0.4</v>
      </c>
      <c r="AB63" s="154">
        <f>+'NEW Fall CHP by DISC'!AB63/12</f>
        <v>0</v>
      </c>
      <c r="AC63" s="154">
        <f>SUM(Z63:AB63)</f>
        <v>1.0666666666666667</v>
      </c>
      <c r="AD63" s="567">
        <f t="shared" si="43"/>
        <v>1</v>
      </c>
      <c r="AE63" s="328"/>
      <c r="AF63" s="328"/>
      <c r="AG63" s="328"/>
      <c r="AH63" s="328"/>
      <c r="AI63" s="328"/>
      <c r="AJ63" s="328"/>
      <c r="AK63" s="328"/>
      <c r="AL63" s="328"/>
    </row>
    <row r="64" spans="1:256" x14ac:dyDescent="0.25">
      <c r="A64" s="566" t="s">
        <v>1519</v>
      </c>
      <c r="B64" s="154">
        <f>+'NEW Fall CHP by DISC'!B64/15</f>
        <v>0</v>
      </c>
      <c r="C64" s="154">
        <f>+'NEW Fall CHP by DISC'!C64/15</f>
        <v>0</v>
      </c>
      <c r="D64" s="154">
        <f>+'NEW Fall CHP by DISC'!D64/12</f>
        <v>0</v>
      </c>
      <c r="E64" s="745">
        <f>SUM(B64:D64)</f>
        <v>0</v>
      </c>
      <c r="F64" s="154">
        <f>+'NEW Fall CHP by DISC'!F64/15</f>
        <v>0</v>
      </c>
      <c r="G64" s="154">
        <f>+'NEW Fall CHP by DISC'!G64/15</f>
        <v>0</v>
      </c>
      <c r="H64" s="154">
        <f>+'NEW Fall CHP by DISC'!H64/12</f>
        <v>0</v>
      </c>
      <c r="I64" s="154">
        <f>SUM(F64:H64)</f>
        <v>0</v>
      </c>
      <c r="J64" s="602" t="str">
        <f t="shared" si="39"/>
        <v>N/A</v>
      </c>
      <c r="K64" s="154">
        <f>+'NEW Fall CHP by DISC'!K64/15</f>
        <v>0</v>
      </c>
      <c r="L64" s="154">
        <f>+'NEW Fall CHP by DISC'!L64/15</f>
        <v>0</v>
      </c>
      <c r="M64" s="154">
        <f>+'NEW Fall CHP by DISC'!M64/12</f>
        <v>0</v>
      </c>
      <c r="N64" s="154">
        <f>SUM(K64:M64)</f>
        <v>0</v>
      </c>
      <c r="O64" s="602" t="str">
        <f t="shared" si="40"/>
        <v>N/A</v>
      </c>
      <c r="P64" s="154">
        <f>+'NEW Fall CHP by DISC'!P64/15</f>
        <v>0</v>
      </c>
      <c r="Q64" s="154">
        <f>+'NEW Fall CHP by DISC'!Q64/15</f>
        <v>0</v>
      </c>
      <c r="R64" s="154">
        <f>+'NEW Fall CHP by DISC'!R64/12</f>
        <v>0</v>
      </c>
      <c r="S64" s="154">
        <f>SUM(P64:R64)</f>
        <v>0</v>
      </c>
      <c r="T64" s="602" t="str">
        <f t="shared" si="41"/>
        <v>N/A</v>
      </c>
      <c r="U64" s="154">
        <f>+'NEW Fall CHP by DISC'!U64/15</f>
        <v>0</v>
      </c>
      <c r="V64" s="154">
        <f>+'NEW Fall CHP by DISC'!V64/15</f>
        <v>0</v>
      </c>
      <c r="W64" s="154">
        <f>+'NEW Fall CHP by DISC'!W64/12</f>
        <v>0</v>
      </c>
      <c r="X64" s="154">
        <f>SUM(U64:W64)</f>
        <v>0</v>
      </c>
      <c r="Y64" s="602" t="str">
        <f t="shared" si="42"/>
        <v>N/A</v>
      </c>
      <c r="Z64" s="154">
        <f>+'NEW Fall CHP by DISC'!Z64/15</f>
        <v>1.8666666666666667</v>
      </c>
      <c r="AA64" s="154">
        <f>+'NEW Fall CHP by DISC'!AA64/15</f>
        <v>0.6</v>
      </c>
      <c r="AB64" s="154">
        <f>+'NEW Fall CHP by DISC'!AB64/12</f>
        <v>0</v>
      </c>
      <c r="AC64" s="154">
        <f>SUM(Z64:AB64)</f>
        <v>2.4666666666666668</v>
      </c>
      <c r="AD64" s="567">
        <f t="shared" si="43"/>
        <v>1</v>
      </c>
      <c r="AE64" s="328"/>
      <c r="AF64" s="328"/>
      <c r="AG64" s="328"/>
      <c r="AH64" s="328"/>
      <c r="AI64" s="328"/>
      <c r="AJ64" s="328"/>
      <c r="AK64" s="328"/>
      <c r="AL64" s="328"/>
    </row>
    <row r="65" spans="1:38" x14ac:dyDescent="0.25">
      <c r="A65" s="566" t="s">
        <v>1520</v>
      </c>
      <c r="B65" s="154">
        <f>+'NEW Fall CHP by DISC'!B65/15</f>
        <v>0</v>
      </c>
      <c r="C65" s="154">
        <f>+'NEW Fall CHP by DISC'!C65/15</f>
        <v>0</v>
      </c>
      <c r="D65" s="154">
        <f>+'NEW Fall CHP by DISC'!D65/12</f>
        <v>0</v>
      </c>
      <c r="E65" s="745">
        <f>SUM(B65:D65)</f>
        <v>0</v>
      </c>
      <c r="F65" s="154">
        <f>+'NEW Fall CHP by DISC'!F65/15</f>
        <v>0</v>
      </c>
      <c r="G65" s="154">
        <f>+'NEW Fall CHP by DISC'!G65/15</f>
        <v>0</v>
      </c>
      <c r="H65" s="154">
        <f>+'NEW Fall CHP by DISC'!H65/12</f>
        <v>0</v>
      </c>
      <c r="I65" s="154">
        <f>SUM(F65:H65)</f>
        <v>0</v>
      </c>
      <c r="J65" s="602" t="str">
        <f t="shared" si="39"/>
        <v>N/A</v>
      </c>
      <c r="K65" s="154">
        <f>+'NEW Fall CHP by DISC'!K65/15</f>
        <v>0</v>
      </c>
      <c r="L65" s="154">
        <f>+'NEW Fall CHP by DISC'!L65/15</f>
        <v>0</v>
      </c>
      <c r="M65" s="154">
        <f>+'NEW Fall CHP by DISC'!M65/12</f>
        <v>0</v>
      </c>
      <c r="N65" s="154">
        <f>SUM(K65:M65)</f>
        <v>0</v>
      </c>
      <c r="O65" s="602" t="str">
        <f t="shared" si="40"/>
        <v>N/A</v>
      </c>
      <c r="P65" s="154">
        <f>+'NEW Fall CHP by DISC'!P65/15</f>
        <v>0</v>
      </c>
      <c r="Q65" s="154">
        <f>+'NEW Fall CHP by DISC'!Q65/15</f>
        <v>0</v>
      </c>
      <c r="R65" s="154">
        <f>+'NEW Fall CHP by DISC'!R65/12</f>
        <v>0</v>
      </c>
      <c r="S65" s="154">
        <f>SUM(P65:R65)</f>
        <v>0</v>
      </c>
      <c r="T65" s="602" t="str">
        <f t="shared" si="41"/>
        <v>N/A</v>
      </c>
      <c r="U65" s="154">
        <f>+'NEW Fall CHP by DISC'!U65/15</f>
        <v>0</v>
      </c>
      <c r="V65" s="154">
        <f>+'NEW Fall CHP by DISC'!V65/15</f>
        <v>0</v>
      </c>
      <c r="W65" s="154">
        <f>+'NEW Fall CHP by DISC'!W65/12</f>
        <v>0</v>
      </c>
      <c r="X65" s="154">
        <f>SUM(U65:W65)</f>
        <v>0</v>
      </c>
      <c r="Y65" s="602" t="str">
        <f t="shared" si="42"/>
        <v>N/A</v>
      </c>
      <c r="Z65" s="154">
        <f>+'NEW Fall CHP by DISC'!Z65/15</f>
        <v>0.6</v>
      </c>
      <c r="AA65" s="154">
        <f>+'NEW Fall CHP by DISC'!AA65/15</f>
        <v>0.4</v>
      </c>
      <c r="AB65" s="154">
        <f>+'NEW Fall CHP by DISC'!AB65/12</f>
        <v>0</v>
      </c>
      <c r="AC65" s="154">
        <f>SUM(Z65:AB65)</f>
        <v>1</v>
      </c>
      <c r="AD65" s="567">
        <f t="shared" si="43"/>
        <v>1</v>
      </c>
      <c r="AE65" s="328"/>
      <c r="AF65" s="328"/>
      <c r="AG65" s="328"/>
      <c r="AH65" s="328"/>
      <c r="AI65" s="328"/>
      <c r="AJ65" s="328"/>
      <c r="AK65" s="328"/>
      <c r="AL65" s="328"/>
    </row>
    <row r="66" spans="1:38" s="575" customFormat="1" ht="13.8" x14ac:dyDescent="0.25">
      <c r="A66" s="615" t="s">
        <v>961</v>
      </c>
      <c r="B66" s="611">
        <f t="shared" ref="B66:I66" si="44">SUM(B61:B65)</f>
        <v>54.666666666666664</v>
      </c>
      <c r="C66" s="611">
        <f t="shared" si="44"/>
        <v>16.933333333333334</v>
      </c>
      <c r="D66" s="611">
        <f t="shared" si="44"/>
        <v>0</v>
      </c>
      <c r="E66" s="611">
        <f t="shared" si="44"/>
        <v>71.599999999999994</v>
      </c>
      <c r="F66" s="611">
        <f t="shared" si="44"/>
        <v>57.133333333333333</v>
      </c>
      <c r="G66" s="611">
        <f t="shared" si="44"/>
        <v>17.600000000000001</v>
      </c>
      <c r="H66" s="611">
        <f t="shared" si="44"/>
        <v>0</v>
      </c>
      <c r="I66" s="611">
        <f t="shared" si="44"/>
        <v>74.73333333333332</v>
      </c>
      <c r="J66" s="731">
        <f t="shared" si="39"/>
        <v>4.3761638733705671E-2</v>
      </c>
      <c r="K66" s="611">
        <f>SUM(K61:K65)</f>
        <v>77.533333333333331</v>
      </c>
      <c r="L66" s="611">
        <f>SUM(L61:L65)</f>
        <v>18.2</v>
      </c>
      <c r="M66" s="611">
        <f>SUM(M61:M65)</f>
        <v>0</v>
      </c>
      <c r="N66" s="611">
        <f>SUM(N61:N65)</f>
        <v>95.733333333333334</v>
      </c>
      <c r="O66" s="731">
        <f t="shared" si="40"/>
        <v>0.28099910793934013</v>
      </c>
      <c r="P66" s="611">
        <f>SUM(P61:P65)</f>
        <v>71.333333333333343</v>
      </c>
      <c r="Q66" s="611">
        <f>SUM(Q61:Q65)</f>
        <v>17.066666666666666</v>
      </c>
      <c r="R66" s="611">
        <f>SUM(R61:R65)</f>
        <v>0</v>
      </c>
      <c r="S66" s="611">
        <f>SUM(S61:S65)</f>
        <v>88.4</v>
      </c>
      <c r="T66" s="731">
        <f t="shared" si="41"/>
        <v>-7.6601671309192154E-2</v>
      </c>
      <c r="U66" s="611">
        <f>SUM(U61:U65)</f>
        <v>65.8</v>
      </c>
      <c r="V66" s="611">
        <f>SUM(V61:V65)</f>
        <v>15.133333333333333</v>
      </c>
      <c r="W66" s="611">
        <f>SUM(W61:W65)</f>
        <v>0</v>
      </c>
      <c r="X66" s="611">
        <f>SUM(X61:X65)</f>
        <v>80.933333333333337</v>
      </c>
      <c r="Y66" s="731">
        <f t="shared" si="42"/>
        <v>-8.4464555052790366E-2</v>
      </c>
      <c r="Z66" s="611">
        <f>SUM(Z61:Z65)</f>
        <v>61.533333333333331</v>
      </c>
      <c r="AA66" s="611">
        <f>SUM(AA61:AA65)</f>
        <v>14.066666666666666</v>
      </c>
      <c r="AB66" s="611">
        <f>SUM(AB61:AB65)</f>
        <v>0</v>
      </c>
      <c r="AC66" s="611">
        <f>SUM(AC61:AC65)</f>
        <v>75.599999999999994</v>
      </c>
      <c r="AD66" s="614">
        <f t="shared" si="43"/>
        <v>-6.5897858319604721E-2</v>
      </c>
    </row>
    <row r="67" spans="1:38" x14ac:dyDescent="0.25">
      <c r="A67" s="564" t="s">
        <v>428</v>
      </c>
      <c r="B67" s="151"/>
      <c r="C67" s="152"/>
      <c r="D67" s="152"/>
      <c r="E67" s="153"/>
      <c r="F67" s="151"/>
      <c r="G67" s="152"/>
      <c r="H67" s="152"/>
      <c r="I67" s="152"/>
      <c r="J67" s="330"/>
      <c r="K67" s="151"/>
      <c r="L67" s="152"/>
      <c r="M67" s="152"/>
      <c r="N67" s="152"/>
      <c r="O67" s="330"/>
      <c r="P67" s="151"/>
      <c r="Q67" s="152"/>
      <c r="R67" s="152"/>
      <c r="S67" s="152"/>
      <c r="T67" s="330"/>
      <c r="U67" s="151"/>
      <c r="V67" s="152"/>
      <c r="W67" s="152"/>
      <c r="X67" s="152"/>
      <c r="Y67" s="330"/>
      <c r="Z67" s="151"/>
      <c r="AA67" s="152"/>
      <c r="AB67" s="152"/>
      <c r="AC67" s="152"/>
      <c r="AD67" s="565"/>
      <c r="AE67" s="328"/>
      <c r="AF67" s="328"/>
      <c r="AG67" s="328"/>
      <c r="AH67" s="328"/>
      <c r="AI67" s="328"/>
      <c r="AJ67" s="328"/>
      <c r="AK67" s="328"/>
      <c r="AL67" s="328"/>
    </row>
    <row r="68" spans="1:38" s="372" customFormat="1" x14ac:dyDescent="0.25">
      <c r="A68" s="666" t="s">
        <v>992</v>
      </c>
      <c r="B68" s="154">
        <f>+'NEW Fall CHP by DISC'!B68/15</f>
        <v>5.4</v>
      </c>
      <c r="C68" s="154">
        <f>+'NEW Fall CHP by DISC'!C68/15</f>
        <v>0</v>
      </c>
      <c r="D68" s="154">
        <f>+'NEW Fall CHP by DISC'!D68/12</f>
        <v>0</v>
      </c>
      <c r="E68" s="745">
        <f>SUM(B68:D68)</f>
        <v>5.4</v>
      </c>
      <c r="F68" s="154">
        <f>+'NEW Fall CHP by DISC'!F68/15</f>
        <v>0</v>
      </c>
      <c r="G68" s="154">
        <f>+'NEW Fall CHP by DISC'!G68/15</f>
        <v>0</v>
      </c>
      <c r="H68" s="154">
        <f>+'NEW Fall CHP by DISC'!H68/12</f>
        <v>0</v>
      </c>
      <c r="I68" s="154">
        <f>SUM(F68:H68)</f>
        <v>0</v>
      </c>
      <c r="J68" s="602">
        <f t="shared" ref="J68:J73" si="45">IF(E68&gt;0,(I68-E68)/E68,(IF(I68=0,"N/A",100%)))</f>
        <v>-1</v>
      </c>
      <c r="K68" s="154">
        <f>+'NEW Fall CHP by DISC'!K68/15</f>
        <v>0</v>
      </c>
      <c r="L68" s="154">
        <f>+'NEW Fall CHP by DISC'!L68/15</f>
        <v>0</v>
      </c>
      <c r="M68" s="154">
        <f>+'NEW Fall CHP by DISC'!M68/12</f>
        <v>0</v>
      </c>
      <c r="N68" s="154">
        <f>SUM(K68:M68)</f>
        <v>0</v>
      </c>
      <c r="O68" s="602" t="str">
        <f t="shared" ref="O68:O73" si="46">IF(I68&gt;0,(N68-I68)/I68,(IF(N68=0,"N/A",100%)))</f>
        <v>N/A</v>
      </c>
      <c r="P68" s="154">
        <f>+'NEW Fall CHP by DISC'!P68/15</f>
        <v>0</v>
      </c>
      <c r="Q68" s="154">
        <f>+'NEW Fall CHP by DISC'!Q68/15</f>
        <v>0</v>
      </c>
      <c r="R68" s="154">
        <f>+'NEW Fall CHP by DISC'!R68/12</f>
        <v>0</v>
      </c>
      <c r="S68" s="154">
        <f>SUM(P68:R68)</f>
        <v>0</v>
      </c>
      <c r="T68" s="602" t="str">
        <f t="shared" ref="T68:T73" si="47">IF(N68&gt;0,(S68-N68)/N68,(IF(S68=0,"N/A",100%)))</f>
        <v>N/A</v>
      </c>
      <c r="U68" s="154">
        <f>+'NEW Fall CHP by DISC'!U68/15</f>
        <v>0</v>
      </c>
      <c r="V68" s="154">
        <f>+'NEW Fall CHP by DISC'!V68/15</f>
        <v>0</v>
      </c>
      <c r="W68" s="154">
        <f>+'NEW Fall CHP by DISC'!W68/12</f>
        <v>0</v>
      </c>
      <c r="X68" s="154">
        <f>SUM(U68:W68)</f>
        <v>0</v>
      </c>
      <c r="Y68" s="602" t="str">
        <f t="shared" ref="Y68:Y73" si="48">IF(S68&gt;0,(X68-S68)/S68,(IF(X68=0,"N/A",100%)))</f>
        <v>N/A</v>
      </c>
      <c r="Z68" s="154">
        <f>+'NEW Fall CHP by DISC'!Z68/15</f>
        <v>0</v>
      </c>
      <c r="AA68" s="154">
        <f>+'NEW Fall CHP by DISC'!AA68/15</f>
        <v>0</v>
      </c>
      <c r="AB68" s="154">
        <f>+'NEW Fall CHP by DISC'!AB68/12</f>
        <v>0</v>
      </c>
      <c r="AC68" s="154">
        <f>SUM(Z68:AB68)</f>
        <v>0</v>
      </c>
      <c r="AD68" s="567" t="str">
        <f t="shared" ref="AD68:AD73" si="49">IF(X68&gt;0,(AC68-X68)/X68,(IF(AC68=0,"N/A",100%)))</f>
        <v>N/A</v>
      </c>
      <c r="AE68" s="871"/>
      <c r="AF68" s="871"/>
      <c r="AG68" s="871"/>
      <c r="AH68" s="871"/>
      <c r="AI68" s="871"/>
      <c r="AJ68" s="871"/>
      <c r="AK68" s="871"/>
      <c r="AL68" s="871"/>
    </row>
    <row r="69" spans="1:38" x14ac:dyDescent="0.25">
      <c r="A69" s="566" t="s">
        <v>987</v>
      </c>
      <c r="B69" s="154">
        <f>+'NEW Fall CHP by DISC'!B69/15</f>
        <v>74.2</v>
      </c>
      <c r="C69" s="154">
        <f>+'NEW Fall CHP by DISC'!C69/15</f>
        <v>31.333333333333332</v>
      </c>
      <c r="D69" s="154">
        <f>+'NEW Fall CHP by DISC'!D69/12</f>
        <v>0</v>
      </c>
      <c r="E69" s="745">
        <f>SUM(B69:D69)</f>
        <v>105.53333333333333</v>
      </c>
      <c r="F69" s="154">
        <f>+'NEW Fall CHP by DISC'!F69/15</f>
        <v>96.4</v>
      </c>
      <c r="G69" s="154">
        <f>+'NEW Fall CHP by DISC'!G69/15</f>
        <v>30.2</v>
      </c>
      <c r="H69" s="154">
        <f>+'NEW Fall CHP by DISC'!H69/12</f>
        <v>0</v>
      </c>
      <c r="I69" s="154">
        <f>SUM(F69:H69)</f>
        <v>126.60000000000001</v>
      </c>
      <c r="J69" s="602">
        <f t="shared" si="45"/>
        <v>0.19962097283638672</v>
      </c>
      <c r="K69" s="154">
        <f>+'NEW Fall CHP by DISC'!K69/15</f>
        <v>114.4</v>
      </c>
      <c r="L69" s="154">
        <f>+'NEW Fall CHP by DISC'!L69/15</f>
        <v>38.4</v>
      </c>
      <c r="M69" s="154">
        <f>+'NEW Fall CHP by DISC'!M69/12</f>
        <v>0</v>
      </c>
      <c r="N69" s="154">
        <f>SUM(K69:M69)</f>
        <v>152.80000000000001</v>
      </c>
      <c r="O69" s="602">
        <f t="shared" si="46"/>
        <v>0.20695102685624014</v>
      </c>
      <c r="P69" s="154">
        <f>+'NEW Fall CHP by DISC'!P69/15</f>
        <v>146.19999999999999</v>
      </c>
      <c r="Q69" s="154">
        <f>+'NEW Fall CHP by DISC'!Q69/15</f>
        <v>25.6</v>
      </c>
      <c r="R69" s="154">
        <f>+'NEW Fall CHP by DISC'!R69/12</f>
        <v>0</v>
      </c>
      <c r="S69" s="154">
        <f>SUM(P69:R69)</f>
        <v>171.79999999999998</v>
      </c>
      <c r="T69" s="602">
        <f t="shared" si="47"/>
        <v>0.12434554973821969</v>
      </c>
      <c r="U69" s="154">
        <f>+'NEW Fall CHP by DISC'!U69/15</f>
        <v>140.6</v>
      </c>
      <c r="V69" s="154">
        <f>+'NEW Fall CHP by DISC'!V69/15</f>
        <v>24.2</v>
      </c>
      <c r="W69" s="154">
        <f>+'NEW Fall CHP by DISC'!W69/12</f>
        <v>0</v>
      </c>
      <c r="X69" s="154">
        <f>SUM(U69:W69)</f>
        <v>164.79999999999998</v>
      </c>
      <c r="Y69" s="602">
        <f t="shared" si="48"/>
        <v>-4.0745052386495929E-2</v>
      </c>
      <c r="Z69" s="154">
        <f>+'NEW Fall CHP by DISC'!Z69/15</f>
        <v>124.4</v>
      </c>
      <c r="AA69" s="154">
        <f>+'NEW Fall CHP by DISC'!AA69/15</f>
        <v>24.8</v>
      </c>
      <c r="AB69" s="154">
        <f>+'NEW Fall CHP by DISC'!AB69/12</f>
        <v>0</v>
      </c>
      <c r="AC69" s="154">
        <f>SUM(Z69:AB69)</f>
        <v>149.20000000000002</v>
      </c>
      <c r="AD69" s="567">
        <f t="shared" si="49"/>
        <v>-9.4660194174757087E-2</v>
      </c>
      <c r="AE69" s="328"/>
      <c r="AF69" s="328"/>
      <c r="AG69" s="328"/>
      <c r="AH69" s="328"/>
      <c r="AI69" s="328"/>
      <c r="AJ69" s="328"/>
      <c r="AK69" s="328"/>
      <c r="AL69" s="328"/>
    </row>
    <row r="70" spans="1:38" x14ac:dyDescent="0.25">
      <c r="A70" s="566" t="s">
        <v>993</v>
      </c>
      <c r="B70" s="154">
        <f>+'NEW Fall CHP by DISC'!B70/15</f>
        <v>0</v>
      </c>
      <c r="C70" s="154">
        <f>+'NEW Fall CHP by DISC'!C70/15</f>
        <v>11</v>
      </c>
      <c r="D70" s="154">
        <f>+'NEW Fall CHP by DISC'!D70/12</f>
        <v>0</v>
      </c>
      <c r="E70" s="745">
        <f>SUM(B70:D70)</f>
        <v>11</v>
      </c>
      <c r="F70" s="154">
        <f>+'NEW Fall CHP by DISC'!F70/15</f>
        <v>4.4000000000000004</v>
      </c>
      <c r="G70" s="154">
        <f>+'NEW Fall CHP by DISC'!G70/15</f>
        <v>14.8</v>
      </c>
      <c r="H70" s="154">
        <f>+'NEW Fall CHP by DISC'!H70/12</f>
        <v>0</v>
      </c>
      <c r="I70" s="154">
        <f>SUM(F70:H70)</f>
        <v>19.200000000000003</v>
      </c>
      <c r="J70" s="602">
        <f t="shared" si="45"/>
        <v>0.7454545454545457</v>
      </c>
      <c r="K70" s="154">
        <f>+'NEW Fall CHP by DISC'!K70/15</f>
        <v>18.2</v>
      </c>
      <c r="L70" s="154">
        <f>+'NEW Fall CHP by DISC'!L70/15</f>
        <v>10.199999999999999</v>
      </c>
      <c r="M70" s="154">
        <f>+'NEW Fall CHP by DISC'!M70/12</f>
        <v>0</v>
      </c>
      <c r="N70" s="154">
        <f>SUM(K70:M70)</f>
        <v>28.4</v>
      </c>
      <c r="O70" s="602">
        <f t="shared" si="46"/>
        <v>0.47916666666666635</v>
      </c>
      <c r="P70" s="154">
        <f>+'NEW Fall CHP by DISC'!P70/15</f>
        <v>8.8000000000000007</v>
      </c>
      <c r="Q70" s="154">
        <f>+'NEW Fall CHP by DISC'!Q70/15</f>
        <v>10.4</v>
      </c>
      <c r="R70" s="154">
        <f>+'NEW Fall CHP by DISC'!R70/12</f>
        <v>0</v>
      </c>
      <c r="S70" s="154">
        <f>SUM(P70:R70)</f>
        <v>19.200000000000003</v>
      </c>
      <c r="T70" s="602">
        <f t="shared" si="47"/>
        <v>-0.32394366197183083</v>
      </c>
      <c r="U70" s="154">
        <f>+'NEW Fall CHP by DISC'!U70/15</f>
        <v>6.8</v>
      </c>
      <c r="V70" s="154">
        <f>+'NEW Fall CHP by DISC'!V70/15</f>
        <v>4.5999999999999996</v>
      </c>
      <c r="W70" s="154">
        <f>+'NEW Fall CHP by DISC'!W70/12</f>
        <v>0</v>
      </c>
      <c r="X70" s="154">
        <f>SUM(U70:W70)</f>
        <v>11.399999999999999</v>
      </c>
      <c r="Y70" s="602">
        <f t="shared" si="48"/>
        <v>-0.40625000000000017</v>
      </c>
      <c r="Z70" s="154">
        <f>+'NEW Fall CHP by DISC'!Z70/15</f>
        <v>0</v>
      </c>
      <c r="AA70" s="154">
        <f>+'NEW Fall CHP by DISC'!AA70/15</f>
        <v>17.2</v>
      </c>
      <c r="AB70" s="154">
        <f>+'NEW Fall CHP by DISC'!AB70/12</f>
        <v>0</v>
      </c>
      <c r="AC70" s="154">
        <f>SUM(Z70:AB70)</f>
        <v>17.2</v>
      </c>
      <c r="AD70" s="567">
        <f t="shared" si="49"/>
        <v>0.50877192982456154</v>
      </c>
      <c r="AE70" s="328"/>
      <c r="AF70" s="328"/>
      <c r="AG70" s="328"/>
      <c r="AH70" s="328"/>
      <c r="AI70" s="328"/>
      <c r="AJ70" s="328"/>
      <c r="AK70" s="328"/>
      <c r="AL70" s="328"/>
    </row>
    <row r="71" spans="1:38" x14ac:dyDescent="0.25">
      <c r="A71" s="566" t="s">
        <v>994</v>
      </c>
      <c r="B71" s="154">
        <f>+'NEW Fall CHP by DISC'!B71/15</f>
        <v>33.6</v>
      </c>
      <c r="C71" s="154">
        <f>+'NEW Fall CHP by DISC'!C71/15</f>
        <v>4.2</v>
      </c>
      <c r="D71" s="154">
        <f>+'NEW Fall CHP by DISC'!D71/12</f>
        <v>0</v>
      </c>
      <c r="E71" s="745">
        <f>SUM(B71:D71)</f>
        <v>37.800000000000004</v>
      </c>
      <c r="F71" s="154">
        <f>+'NEW Fall CHP by DISC'!F71/15</f>
        <v>33.6</v>
      </c>
      <c r="G71" s="154">
        <f>+'NEW Fall CHP by DISC'!G71/15</f>
        <v>8.1999999999999993</v>
      </c>
      <c r="H71" s="154">
        <f>+'NEW Fall CHP by DISC'!H71/12</f>
        <v>0</v>
      </c>
      <c r="I71" s="154">
        <f>SUM(F71:H71)</f>
        <v>41.8</v>
      </c>
      <c r="J71" s="602">
        <f t="shared" si="45"/>
        <v>0.10582010582010562</v>
      </c>
      <c r="K71" s="154">
        <f>+'NEW Fall CHP by DISC'!K71/15</f>
        <v>34.4</v>
      </c>
      <c r="L71" s="154">
        <f>+'NEW Fall CHP by DISC'!L71/15</f>
        <v>9.8000000000000007</v>
      </c>
      <c r="M71" s="154">
        <f>+'NEW Fall CHP by DISC'!M71/12</f>
        <v>0</v>
      </c>
      <c r="N71" s="154">
        <f>SUM(K71:M71)</f>
        <v>44.2</v>
      </c>
      <c r="O71" s="602">
        <f t="shared" si="46"/>
        <v>5.7416267942583872E-2</v>
      </c>
      <c r="P71" s="154">
        <f>+'NEW Fall CHP by DISC'!P71/15</f>
        <v>32.799999999999997</v>
      </c>
      <c r="Q71" s="154">
        <f>+'NEW Fall CHP by DISC'!Q71/15</f>
        <v>8.4</v>
      </c>
      <c r="R71" s="154">
        <f>+'NEW Fall CHP by DISC'!R71/12</f>
        <v>0</v>
      </c>
      <c r="S71" s="154">
        <f>SUM(P71:R71)</f>
        <v>41.199999999999996</v>
      </c>
      <c r="T71" s="602">
        <f t="shared" si="47"/>
        <v>-6.7873303167420976E-2</v>
      </c>
      <c r="U71" s="154">
        <f>+'NEW Fall CHP by DISC'!U71/15</f>
        <v>35</v>
      </c>
      <c r="V71" s="154">
        <f>+'NEW Fall CHP by DISC'!V71/15</f>
        <v>5.8</v>
      </c>
      <c r="W71" s="154">
        <f>+'NEW Fall CHP by DISC'!W71/12</f>
        <v>0</v>
      </c>
      <c r="X71" s="154">
        <f>SUM(U71:W71)</f>
        <v>40.799999999999997</v>
      </c>
      <c r="Y71" s="602">
        <f t="shared" si="48"/>
        <v>-9.7087378640776361E-3</v>
      </c>
      <c r="Z71" s="154">
        <f>+'NEW Fall CHP by DISC'!Z71/15</f>
        <v>37</v>
      </c>
      <c r="AA71" s="154">
        <f>+'NEW Fall CHP by DISC'!AA71/15</f>
        <v>10.199999999999999</v>
      </c>
      <c r="AB71" s="154">
        <f>+'NEW Fall CHP by DISC'!AB71/12</f>
        <v>0</v>
      </c>
      <c r="AC71" s="154">
        <f>SUM(Z71:AB71)</f>
        <v>47.2</v>
      </c>
      <c r="AD71" s="567">
        <f t="shared" si="49"/>
        <v>0.15686274509803935</v>
      </c>
      <c r="AE71" s="328"/>
      <c r="AF71" s="328"/>
      <c r="AG71" s="328"/>
      <c r="AH71" s="328"/>
      <c r="AI71" s="328"/>
      <c r="AJ71" s="328"/>
      <c r="AK71" s="328"/>
      <c r="AL71" s="328"/>
    </row>
    <row r="72" spans="1:38" x14ac:dyDescent="0.25">
      <c r="A72" s="566" t="s">
        <v>1376</v>
      </c>
      <c r="B72" s="154">
        <f>+'NEW Fall CHP by DISC'!B72/15</f>
        <v>0</v>
      </c>
      <c r="C72" s="154">
        <f>+'NEW Fall CHP by DISC'!C72/15</f>
        <v>0</v>
      </c>
      <c r="D72" s="154">
        <f>+'NEW Fall CHP by DISC'!D72/12</f>
        <v>0</v>
      </c>
      <c r="E72" s="745">
        <f>SUM(B72:D72)</f>
        <v>0</v>
      </c>
      <c r="F72" s="154">
        <f>+'NEW Fall CHP by DISC'!F72/15</f>
        <v>8</v>
      </c>
      <c r="G72" s="154">
        <f>+'NEW Fall CHP by DISC'!G72/15</f>
        <v>1</v>
      </c>
      <c r="H72" s="154">
        <f>+'NEW Fall CHP by DISC'!H72/12</f>
        <v>0</v>
      </c>
      <c r="I72" s="154">
        <f>SUM(F72:H72)</f>
        <v>9</v>
      </c>
      <c r="J72" s="602">
        <f t="shared" si="45"/>
        <v>1</v>
      </c>
      <c r="K72" s="154">
        <f>+'NEW Fall CHP by DISC'!K72/15</f>
        <v>0</v>
      </c>
      <c r="L72" s="154">
        <f>+'NEW Fall CHP by DISC'!L72/15</f>
        <v>2.8</v>
      </c>
      <c r="M72" s="154">
        <f>+'NEW Fall CHP by DISC'!M72/12</f>
        <v>0</v>
      </c>
      <c r="N72" s="154">
        <f>SUM(K72:M72)</f>
        <v>2.8</v>
      </c>
      <c r="O72" s="602">
        <f t="shared" si="46"/>
        <v>-0.68888888888888888</v>
      </c>
      <c r="P72" s="154">
        <f>+'NEW Fall CHP by DISC'!P72/15</f>
        <v>5.8</v>
      </c>
      <c r="Q72" s="154">
        <f>+'NEW Fall CHP by DISC'!Q72/15</f>
        <v>0</v>
      </c>
      <c r="R72" s="154">
        <f>+'NEW Fall CHP by DISC'!R72/12</f>
        <v>0</v>
      </c>
      <c r="S72" s="154">
        <f>SUM(P72:R72)</f>
        <v>5.8</v>
      </c>
      <c r="T72" s="602">
        <f t="shared" si="47"/>
        <v>1.0714285714285714</v>
      </c>
      <c r="U72" s="154">
        <f>+'NEW Fall CHP by DISC'!U72/15</f>
        <v>2.6</v>
      </c>
      <c r="V72" s="154">
        <f>+'NEW Fall CHP by DISC'!V72/15</f>
        <v>1.8</v>
      </c>
      <c r="W72" s="154">
        <f>+'NEW Fall CHP by DISC'!W72/12</f>
        <v>0</v>
      </c>
      <c r="X72" s="154">
        <f>SUM(U72:W72)</f>
        <v>4.4000000000000004</v>
      </c>
      <c r="Y72" s="602">
        <f t="shared" si="48"/>
        <v>-0.24137931034482751</v>
      </c>
      <c r="Z72" s="154">
        <f>+'NEW Fall CHP by DISC'!Z72/15</f>
        <v>8</v>
      </c>
      <c r="AA72" s="154">
        <f>+'NEW Fall CHP by DISC'!AA72/15</f>
        <v>0</v>
      </c>
      <c r="AB72" s="154">
        <f>+'NEW Fall CHP by DISC'!AB72/12</f>
        <v>0</v>
      </c>
      <c r="AC72" s="154">
        <f>SUM(Z72:AB72)</f>
        <v>8</v>
      </c>
      <c r="AD72" s="567">
        <f t="shared" si="49"/>
        <v>0.81818181818181801</v>
      </c>
      <c r="AE72" s="328"/>
      <c r="AF72" s="328"/>
      <c r="AG72" s="328"/>
      <c r="AH72" s="328"/>
      <c r="AI72" s="328"/>
      <c r="AJ72" s="328"/>
      <c r="AK72" s="328"/>
      <c r="AL72" s="328"/>
    </row>
    <row r="73" spans="1:38" s="575" customFormat="1" ht="13.8" x14ac:dyDescent="0.25">
      <c r="A73" s="615" t="s">
        <v>961</v>
      </c>
      <c r="B73" s="611">
        <f t="shared" ref="B73:I73" si="50">SUM(B68:B72)</f>
        <v>113.20000000000002</v>
      </c>
      <c r="C73" s="611">
        <f t="shared" si="50"/>
        <v>46.533333333333331</v>
      </c>
      <c r="D73" s="611">
        <f t="shared" si="50"/>
        <v>0</v>
      </c>
      <c r="E73" s="587">
        <f t="shared" si="50"/>
        <v>159.73333333333335</v>
      </c>
      <c r="F73" s="611">
        <f t="shared" si="50"/>
        <v>142.4</v>
      </c>
      <c r="G73" s="611">
        <f t="shared" si="50"/>
        <v>54.2</v>
      </c>
      <c r="H73" s="611">
        <f t="shared" si="50"/>
        <v>0</v>
      </c>
      <c r="I73" s="611">
        <f t="shared" si="50"/>
        <v>196.60000000000002</v>
      </c>
      <c r="J73" s="731">
        <f t="shared" si="45"/>
        <v>0.23080133555926546</v>
      </c>
      <c r="K73" s="611">
        <f>SUM(K68:K72)</f>
        <v>167</v>
      </c>
      <c r="L73" s="611">
        <f>SUM(L68:L72)</f>
        <v>61.199999999999989</v>
      </c>
      <c r="M73" s="611">
        <f>SUM(M68:M72)</f>
        <v>0</v>
      </c>
      <c r="N73" s="611">
        <f>SUM(N68:N72)</f>
        <v>228.20000000000005</v>
      </c>
      <c r="O73" s="731">
        <f t="shared" si="46"/>
        <v>0.1607324516785352</v>
      </c>
      <c r="P73" s="611">
        <f>SUM(P68:P72)</f>
        <v>193.60000000000002</v>
      </c>
      <c r="Q73" s="611">
        <f>SUM(Q68:Q72)</f>
        <v>44.4</v>
      </c>
      <c r="R73" s="611">
        <f>SUM(R68:R72)</f>
        <v>0</v>
      </c>
      <c r="S73" s="611">
        <f>SUM(S68:S72)</f>
        <v>238</v>
      </c>
      <c r="T73" s="731">
        <f t="shared" si="47"/>
        <v>4.2944785276073413E-2</v>
      </c>
      <c r="U73" s="611">
        <f>SUM(U68:U72)</f>
        <v>185</v>
      </c>
      <c r="V73" s="611">
        <f>SUM(V68:V72)</f>
        <v>36.399999999999991</v>
      </c>
      <c r="W73" s="611">
        <f>SUM(W68:W72)</f>
        <v>0</v>
      </c>
      <c r="X73" s="611">
        <f>SUM(X68:X72)</f>
        <v>221.4</v>
      </c>
      <c r="Y73" s="731">
        <f t="shared" si="48"/>
        <v>-6.974789915966384E-2</v>
      </c>
      <c r="Z73" s="611">
        <f>SUM(Z68:Z72)</f>
        <v>169.4</v>
      </c>
      <c r="AA73" s="611">
        <f>SUM(AA68:AA72)</f>
        <v>52.2</v>
      </c>
      <c r="AB73" s="611">
        <f>SUM(AB68:AB72)</f>
        <v>0</v>
      </c>
      <c r="AC73" s="611">
        <f>SUM(AC68:AC72)</f>
        <v>221.60000000000002</v>
      </c>
      <c r="AD73" s="614">
        <f t="shared" si="49"/>
        <v>9.0334236675707795E-4</v>
      </c>
    </row>
    <row r="74" spans="1:38" x14ac:dyDescent="0.25">
      <c r="A74" s="564" t="s">
        <v>409</v>
      </c>
      <c r="B74" s="151"/>
      <c r="C74" s="152"/>
      <c r="D74" s="152"/>
      <c r="E74" s="153"/>
      <c r="F74" s="151"/>
      <c r="G74" s="152"/>
      <c r="H74" s="152"/>
      <c r="I74" s="152"/>
      <c r="J74" s="330"/>
      <c r="K74" s="151"/>
      <c r="L74" s="152"/>
      <c r="M74" s="152"/>
      <c r="N74" s="152"/>
      <c r="O74" s="330"/>
      <c r="P74" s="151"/>
      <c r="Q74" s="152"/>
      <c r="R74" s="152"/>
      <c r="S74" s="152"/>
      <c r="T74" s="330"/>
      <c r="U74" s="151"/>
      <c r="V74" s="152"/>
      <c r="W74" s="152"/>
      <c r="X74" s="152"/>
      <c r="Y74" s="330"/>
      <c r="Z74" s="151"/>
      <c r="AA74" s="152"/>
      <c r="AB74" s="152"/>
      <c r="AC74" s="152"/>
      <c r="AD74" s="565"/>
      <c r="AE74" s="328"/>
      <c r="AF74" s="328"/>
      <c r="AG74" s="328"/>
      <c r="AH74" s="328"/>
      <c r="AI74" s="328"/>
      <c r="AJ74" s="328"/>
      <c r="AK74" s="328"/>
      <c r="AL74" s="328"/>
    </row>
    <row r="75" spans="1:38" x14ac:dyDescent="0.25">
      <c r="A75" s="566" t="s">
        <v>990</v>
      </c>
      <c r="B75" s="154">
        <f>+'NEW Fall CHP by DISC'!B75/15</f>
        <v>178.86666666666667</v>
      </c>
      <c r="C75" s="154">
        <f>+'NEW Fall CHP by DISC'!C75/15</f>
        <v>9.6666666666666661</v>
      </c>
      <c r="D75" s="154">
        <f>+'NEW Fall CHP by DISC'!D75/12</f>
        <v>0</v>
      </c>
      <c r="E75" s="745">
        <f>SUM(B75:D75)</f>
        <v>188.53333333333333</v>
      </c>
      <c r="F75" s="154">
        <f>+'NEW Fall CHP by DISC'!F75/15</f>
        <v>207.73333333333332</v>
      </c>
      <c r="G75" s="154">
        <f>+'NEW Fall CHP by DISC'!G75/15</f>
        <v>12.2</v>
      </c>
      <c r="H75" s="154">
        <f>+'NEW Fall CHP by DISC'!H75/12</f>
        <v>0</v>
      </c>
      <c r="I75" s="154">
        <f>SUM(F75:H75)</f>
        <v>219.93333333333331</v>
      </c>
      <c r="J75" s="602">
        <f t="shared" ref="J75:J80" si="51">IF(E75&gt;0,(I75-E75)/E75,(IF(I75=0,"N/A",100%)))</f>
        <v>0.16654879773691644</v>
      </c>
      <c r="K75" s="154">
        <f>+'NEW Fall CHP by DISC'!K75/15</f>
        <v>236.06666666666666</v>
      </c>
      <c r="L75" s="154">
        <f>+'NEW Fall CHP by DISC'!L75/15</f>
        <v>13</v>
      </c>
      <c r="M75" s="154">
        <f>+'NEW Fall CHP by DISC'!M75/12</f>
        <v>0</v>
      </c>
      <c r="N75" s="154">
        <f>SUM(K75:M75)</f>
        <v>249.06666666666666</v>
      </c>
      <c r="O75" s="602">
        <f t="shared" ref="O75:O80" si="52">IF(I75&gt;0,(N75-I75)/I75,(IF(N75=0,"N/A",100%)))</f>
        <v>0.1324643831464081</v>
      </c>
      <c r="P75" s="154">
        <f>+'NEW Fall CHP by DISC'!P75/15</f>
        <v>262.33333333333331</v>
      </c>
      <c r="Q75" s="154">
        <f>+'NEW Fall CHP by DISC'!Q75/15</f>
        <v>13.6</v>
      </c>
      <c r="R75" s="154">
        <f>+'NEW Fall CHP by DISC'!R75/12</f>
        <v>0</v>
      </c>
      <c r="S75" s="154">
        <f>SUM(P75:R75)</f>
        <v>275.93333333333334</v>
      </c>
      <c r="T75" s="602">
        <f t="shared" ref="T75:T80" si="53">IF(N75&gt;0,(S75-N75)/N75,(IF(S75=0,"N/A",100%)))</f>
        <v>0.10786937901498933</v>
      </c>
      <c r="U75" s="154">
        <f>+'NEW Fall CHP by DISC'!U75/15</f>
        <v>249.73333333333332</v>
      </c>
      <c r="V75" s="154">
        <f>+'NEW Fall CHP by DISC'!V75/15</f>
        <v>11.6</v>
      </c>
      <c r="W75" s="154">
        <f>+'NEW Fall CHP by DISC'!W75/12</f>
        <v>0</v>
      </c>
      <c r="X75" s="154">
        <f>SUM(U75:W75)</f>
        <v>261.33333333333331</v>
      </c>
      <c r="Y75" s="602">
        <f t="shared" ref="Y75:Y80" si="54">IF(S75&gt;0,(X75-S75)/S75,(IF(X75=0,"N/A",100%)))</f>
        <v>-5.2911331239429898E-2</v>
      </c>
      <c r="Z75" s="154">
        <f>+'NEW Fall CHP by DISC'!Z75/15</f>
        <v>240.53333333333333</v>
      </c>
      <c r="AA75" s="154">
        <f>+'NEW Fall CHP by DISC'!AA75/15</f>
        <v>18.399999999999999</v>
      </c>
      <c r="AB75" s="154">
        <f>+'NEW Fall CHP by DISC'!AB75/12</f>
        <v>0</v>
      </c>
      <c r="AC75" s="154">
        <f>SUM(Z75:AB75)</f>
        <v>258.93333333333334</v>
      </c>
      <c r="AD75" s="567">
        <f t="shared" ref="AD75:AD80" si="55">IF(X75&gt;0,(AC75-X75)/X75,(IF(AC75=0,"N/A",100%)))</f>
        <v>-9.1836734693876692E-3</v>
      </c>
      <c r="AE75" s="328"/>
      <c r="AF75" s="328"/>
      <c r="AG75" s="328"/>
      <c r="AH75" s="328"/>
      <c r="AI75" s="328"/>
      <c r="AJ75" s="328"/>
      <c r="AK75" s="328"/>
      <c r="AL75" s="328"/>
    </row>
    <row r="76" spans="1:38" x14ac:dyDescent="0.25">
      <c r="A76" s="566" t="s">
        <v>1521</v>
      </c>
      <c r="B76" s="154">
        <f>+'NEW Fall CHP by DISC'!B76/15</f>
        <v>0</v>
      </c>
      <c r="C76" s="154">
        <f>+'NEW Fall CHP by DISC'!C76/15</f>
        <v>0</v>
      </c>
      <c r="D76" s="154">
        <f>+'NEW Fall CHP by DISC'!D76/12</f>
        <v>0</v>
      </c>
      <c r="E76" s="745">
        <f>SUM(B76:D76)</f>
        <v>0</v>
      </c>
      <c r="F76" s="154">
        <f>+'NEW Fall CHP by DISC'!F76/15</f>
        <v>0</v>
      </c>
      <c r="G76" s="154">
        <f>+'NEW Fall CHP by DISC'!G76/15</f>
        <v>0</v>
      </c>
      <c r="H76" s="154">
        <f>+'NEW Fall CHP by DISC'!H76/12</f>
        <v>0</v>
      </c>
      <c r="I76" s="154">
        <f>SUM(F76:H76)</f>
        <v>0</v>
      </c>
      <c r="J76" s="602" t="str">
        <f t="shared" si="51"/>
        <v>N/A</v>
      </c>
      <c r="K76" s="154">
        <f>+'NEW Fall CHP by DISC'!K76/15</f>
        <v>0</v>
      </c>
      <c r="L76" s="154">
        <f>+'NEW Fall CHP by DISC'!L76/15</f>
        <v>0</v>
      </c>
      <c r="M76" s="154">
        <f>+'NEW Fall CHP by DISC'!M76/12</f>
        <v>0</v>
      </c>
      <c r="N76" s="154">
        <f>SUM(K76:M76)</f>
        <v>0</v>
      </c>
      <c r="O76" s="602" t="str">
        <f t="shared" si="52"/>
        <v>N/A</v>
      </c>
      <c r="P76" s="154">
        <f>+'NEW Fall CHP by DISC'!P76/15</f>
        <v>0</v>
      </c>
      <c r="Q76" s="154">
        <f>+'NEW Fall CHP by DISC'!Q76/15</f>
        <v>0</v>
      </c>
      <c r="R76" s="154">
        <f>+'NEW Fall CHP by DISC'!R76/12</f>
        <v>0</v>
      </c>
      <c r="S76" s="154">
        <f>SUM(P76:R76)</f>
        <v>0</v>
      </c>
      <c r="T76" s="602" t="str">
        <f t="shared" si="53"/>
        <v>N/A</v>
      </c>
      <c r="U76" s="154">
        <f>+'NEW Fall CHP by DISC'!U76/15</f>
        <v>0</v>
      </c>
      <c r="V76" s="154">
        <f>+'NEW Fall CHP by DISC'!V76/15</f>
        <v>0</v>
      </c>
      <c r="W76" s="154">
        <f>+'NEW Fall CHP by DISC'!W76/12</f>
        <v>0</v>
      </c>
      <c r="X76" s="154">
        <f>SUM(U76:W76)</f>
        <v>0</v>
      </c>
      <c r="Y76" s="602" t="str">
        <f t="shared" si="54"/>
        <v>N/A</v>
      </c>
      <c r="Z76" s="154">
        <f>+'NEW Fall CHP by DISC'!Z76/15</f>
        <v>2.6</v>
      </c>
      <c r="AA76" s="154">
        <f>+'NEW Fall CHP by DISC'!AA76/15</f>
        <v>0</v>
      </c>
      <c r="AB76" s="154">
        <f>+'NEW Fall CHP by DISC'!AB76/12</f>
        <v>0</v>
      </c>
      <c r="AC76" s="154">
        <f>SUM(Z76:AB76)</f>
        <v>2.6</v>
      </c>
      <c r="AD76" s="567">
        <f t="shared" si="55"/>
        <v>1</v>
      </c>
      <c r="AE76" s="328"/>
      <c r="AF76" s="328"/>
      <c r="AG76" s="328"/>
      <c r="AH76" s="328"/>
      <c r="AI76" s="328"/>
      <c r="AJ76" s="328"/>
      <c r="AK76" s="328"/>
      <c r="AL76" s="328"/>
    </row>
    <row r="77" spans="1:38" x14ac:dyDescent="0.25">
      <c r="A77" s="566" t="s">
        <v>991</v>
      </c>
      <c r="B77" s="154">
        <f>+'NEW Fall CHP by DISC'!B77/15</f>
        <v>7</v>
      </c>
      <c r="C77" s="154">
        <f>+'NEW Fall CHP by DISC'!C77/15</f>
        <v>0</v>
      </c>
      <c r="D77" s="154">
        <f>+'NEW Fall CHP by DISC'!D77/12</f>
        <v>0</v>
      </c>
      <c r="E77" s="745">
        <f>SUM(B77:D77)</f>
        <v>7</v>
      </c>
      <c r="F77" s="154">
        <f>+'NEW Fall CHP by DISC'!F77/15</f>
        <v>9</v>
      </c>
      <c r="G77" s="154">
        <f>+'NEW Fall CHP by DISC'!G77/15</f>
        <v>0</v>
      </c>
      <c r="H77" s="154">
        <f>+'NEW Fall CHP by DISC'!H77/12</f>
        <v>0</v>
      </c>
      <c r="I77" s="154">
        <f>SUM(F77:H77)</f>
        <v>9</v>
      </c>
      <c r="J77" s="602">
        <f t="shared" si="51"/>
        <v>0.2857142857142857</v>
      </c>
      <c r="K77" s="154">
        <f>+'NEW Fall CHP by DISC'!K77/15</f>
        <v>8.8000000000000007</v>
      </c>
      <c r="L77" s="154">
        <f>+'NEW Fall CHP by DISC'!L77/15</f>
        <v>0.2</v>
      </c>
      <c r="M77" s="154">
        <f>+'NEW Fall CHP by DISC'!M77/12</f>
        <v>0</v>
      </c>
      <c r="N77" s="154">
        <f>SUM(K77:M77)</f>
        <v>9</v>
      </c>
      <c r="O77" s="602">
        <f t="shared" si="52"/>
        <v>0</v>
      </c>
      <c r="P77" s="154">
        <f>+'NEW Fall CHP by DISC'!P77/15</f>
        <v>9</v>
      </c>
      <c r="Q77" s="154">
        <f>+'NEW Fall CHP by DISC'!Q77/15</f>
        <v>0</v>
      </c>
      <c r="R77" s="154">
        <f>+'NEW Fall CHP by DISC'!R77/12</f>
        <v>0</v>
      </c>
      <c r="S77" s="154">
        <f>SUM(P77:R77)</f>
        <v>9</v>
      </c>
      <c r="T77" s="602">
        <f t="shared" si="53"/>
        <v>0</v>
      </c>
      <c r="U77" s="154">
        <f>+'NEW Fall CHP by DISC'!U77/15</f>
        <v>9.8000000000000007</v>
      </c>
      <c r="V77" s="154">
        <f>+'NEW Fall CHP by DISC'!V77/15</f>
        <v>0</v>
      </c>
      <c r="W77" s="154">
        <f>+'NEW Fall CHP by DISC'!W77/12</f>
        <v>0</v>
      </c>
      <c r="X77" s="154">
        <f>SUM(U77:W77)</f>
        <v>9.8000000000000007</v>
      </c>
      <c r="Y77" s="602">
        <f t="shared" si="54"/>
        <v>8.8888888888888962E-2</v>
      </c>
      <c r="Z77" s="154">
        <f>+'NEW Fall CHP by DISC'!Z77/15</f>
        <v>10.6</v>
      </c>
      <c r="AA77" s="154">
        <f>+'NEW Fall CHP by DISC'!AA77/15</f>
        <v>0.4</v>
      </c>
      <c r="AB77" s="154">
        <f>+'NEW Fall CHP by DISC'!AB77/12</f>
        <v>0</v>
      </c>
      <c r="AC77" s="154">
        <f>SUM(Z77:AB77)</f>
        <v>11</v>
      </c>
      <c r="AD77" s="567">
        <f t="shared" si="55"/>
        <v>0.12244897959183665</v>
      </c>
      <c r="AE77" s="328"/>
      <c r="AF77" s="328"/>
      <c r="AG77" s="328"/>
      <c r="AH77" s="328"/>
      <c r="AI77" s="328"/>
      <c r="AJ77" s="328"/>
      <c r="AK77" s="328"/>
      <c r="AL77" s="328"/>
    </row>
    <row r="78" spans="1:38" x14ac:dyDescent="0.25">
      <c r="A78" s="566" t="s">
        <v>995</v>
      </c>
      <c r="B78" s="154">
        <f>+'NEW Fall CHP by DISC'!B78/15</f>
        <v>58.8</v>
      </c>
      <c r="C78" s="154">
        <f>+'NEW Fall CHP by DISC'!C78/15</f>
        <v>4.666666666666667</v>
      </c>
      <c r="D78" s="154">
        <f>+'NEW Fall CHP by DISC'!D78/12</f>
        <v>0</v>
      </c>
      <c r="E78" s="745">
        <f>SUM(B78:D78)</f>
        <v>63.466666666666661</v>
      </c>
      <c r="F78" s="154">
        <f>+'NEW Fall CHP by DISC'!F78/15</f>
        <v>57</v>
      </c>
      <c r="G78" s="154">
        <f>+'NEW Fall CHP by DISC'!G78/15</f>
        <v>3.8</v>
      </c>
      <c r="H78" s="154">
        <f>+'NEW Fall CHP by DISC'!H78/12</f>
        <v>0</v>
      </c>
      <c r="I78" s="154">
        <f>SUM(F78:H78)</f>
        <v>60.8</v>
      </c>
      <c r="J78" s="602">
        <f t="shared" si="51"/>
        <v>-4.2016806722689044E-2</v>
      </c>
      <c r="K78" s="154">
        <f>+'NEW Fall CHP by DISC'!K78/15</f>
        <v>62.533333333333331</v>
      </c>
      <c r="L78" s="154">
        <f>+'NEW Fall CHP by DISC'!L78/15</f>
        <v>2.4</v>
      </c>
      <c r="M78" s="154">
        <f>+'NEW Fall CHP by DISC'!M78/12</f>
        <v>0</v>
      </c>
      <c r="N78" s="154">
        <f>SUM(K78:M78)</f>
        <v>64.933333333333337</v>
      </c>
      <c r="O78" s="602">
        <f t="shared" si="52"/>
        <v>6.7982456140350991E-2</v>
      </c>
      <c r="P78" s="154">
        <f>+'NEW Fall CHP by DISC'!P78/15</f>
        <v>67.8</v>
      </c>
      <c r="Q78" s="154">
        <f>+'NEW Fall CHP by DISC'!Q78/15</f>
        <v>3.8</v>
      </c>
      <c r="R78" s="154">
        <f>+'NEW Fall CHP by DISC'!R78/12</f>
        <v>0</v>
      </c>
      <c r="S78" s="154">
        <f>SUM(P78:R78)</f>
        <v>71.599999999999994</v>
      </c>
      <c r="T78" s="602">
        <f t="shared" si="53"/>
        <v>0.10266940451745364</v>
      </c>
      <c r="U78" s="154">
        <f>+'NEW Fall CHP by DISC'!U78/15</f>
        <v>78</v>
      </c>
      <c r="V78" s="154">
        <f>+'NEW Fall CHP by DISC'!V78/15</f>
        <v>4.7333333333333334</v>
      </c>
      <c r="W78" s="154">
        <f>+'NEW Fall CHP by DISC'!W78/12</f>
        <v>0</v>
      </c>
      <c r="X78" s="154">
        <f>SUM(U78:W78)</f>
        <v>82.733333333333334</v>
      </c>
      <c r="Y78" s="602">
        <f t="shared" si="54"/>
        <v>0.15549348230912488</v>
      </c>
      <c r="Z78" s="154">
        <f>+'NEW Fall CHP by DISC'!Z78/15</f>
        <v>81.8</v>
      </c>
      <c r="AA78" s="154">
        <f>+'NEW Fall CHP by DISC'!AA78/15</f>
        <v>6.6</v>
      </c>
      <c r="AB78" s="154">
        <f>+'NEW Fall CHP by DISC'!AB78/12</f>
        <v>0</v>
      </c>
      <c r="AC78" s="154">
        <f>SUM(Z78:AB78)</f>
        <v>88.399999999999991</v>
      </c>
      <c r="AD78" s="567">
        <f t="shared" si="55"/>
        <v>6.8493150684931392E-2</v>
      </c>
      <c r="AE78" s="328"/>
      <c r="AF78" s="328"/>
      <c r="AG78" s="328"/>
      <c r="AH78" s="328"/>
      <c r="AI78" s="328"/>
      <c r="AJ78" s="328"/>
      <c r="AK78" s="328"/>
      <c r="AL78" s="328"/>
    </row>
    <row r="79" spans="1:38" s="575" customFormat="1" ht="14.4" thickBot="1" x14ac:dyDescent="0.3">
      <c r="A79" s="615" t="s">
        <v>961</v>
      </c>
      <c r="B79" s="611">
        <f t="shared" ref="B79:I79" si="56">SUM(B75:B78)</f>
        <v>244.66666666666669</v>
      </c>
      <c r="C79" s="611">
        <f t="shared" si="56"/>
        <v>14.333333333333332</v>
      </c>
      <c r="D79" s="611">
        <f t="shared" si="56"/>
        <v>0</v>
      </c>
      <c r="E79" s="748">
        <f t="shared" si="56"/>
        <v>259</v>
      </c>
      <c r="F79" s="611">
        <f t="shared" si="56"/>
        <v>273.73333333333335</v>
      </c>
      <c r="G79" s="611">
        <f t="shared" si="56"/>
        <v>16</v>
      </c>
      <c r="H79" s="611">
        <f t="shared" si="56"/>
        <v>0</v>
      </c>
      <c r="I79" s="611">
        <f t="shared" si="56"/>
        <v>289.73333333333329</v>
      </c>
      <c r="J79" s="731">
        <f t="shared" si="51"/>
        <v>0.1186615186615185</v>
      </c>
      <c r="K79" s="611">
        <f>SUM(K75:K78)</f>
        <v>307.39999999999998</v>
      </c>
      <c r="L79" s="611">
        <f>SUM(L75:L78)</f>
        <v>15.6</v>
      </c>
      <c r="M79" s="611">
        <f>SUM(M75:M78)</f>
        <v>0</v>
      </c>
      <c r="N79" s="611">
        <f>SUM(N75:N78)</f>
        <v>323</v>
      </c>
      <c r="O79" s="731">
        <f t="shared" si="52"/>
        <v>0.11481822365393481</v>
      </c>
      <c r="P79" s="611">
        <f>SUM(P75:P78)</f>
        <v>339.13333333333333</v>
      </c>
      <c r="Q79" s="611">
        <f>SUM(Q75:Q78)</f>
        <v>17.399999999999999</v>
      </c>
      <c r="R79" s="611">
        <f>SUM(R75:R78)</f>
        <v>0</v>
      </c>
      <c r="S79" s="611">
        <f>SUM(S75:S78)</f>
        <v>356.5333333333333</v>
      </c>
      <c r="T79" s="731">
        <f t="shared" si="53"/>
        <v>0.10381836945304428</v>
      </c>
      <c r="U79" s="611">
        <f>SUM(U75:U78)</f>
        <v>337.5333333333333</v>
      </c>
      <c r="V79" s="611">
        <f>SUM(V75:V78)</f>
        <v>16.333333333333332</v>
      </c>
      <c r="W79" s="611">
        <f>SUM(W75:W78)</f>
        <v>0</v>
      </c>
      <c r="X79" s="611">
        <f>SUM(X75:X78)</f>
        <v>353.86666666666667</v>
      </c>
      <c r="Y79" s="732">
        <f t="shared" si="54"/>
        <v>-7.4794315632010907E-3</v>
      </c>
      <c r="Z79" s="611">
        <f>SUM(Z75:Z78)</f>
        <v>335.5333333333333</v>
      </c>
      <c r="AA79" s="611">
        <f>SUM(AA75:AA78)</f>
        <v>25.4</v>
      </c>
      <c r="AB79" s="611">
        <f>SUM(AB75:AB78)</f>
        <v>0</v>
      </c>
      <c r="AC79" s="611">
        <f>SUM(AC75:AC78)</f>
        <v>360.93333333333334</v>
      </c>
      <c r="AD79" s="614">
        <f t="shared" si="55"/>
        <v>1.9969856819894487E-2</v>
      </c>
    </row>
    <row r="80" spans="1:38" s="596" customFormat="1" ht="16.8" thickTop="1" thickBot="1" x14ac:dyDescent="0.35">
      <c r="A80" s="590" t="s">
        <v>414</v>
      </c>
      <c r="B80" s="591">
        <f t="shared" ref="B80:I80" si="57">+B52+B59+B66+B73+B79</f>
        <v>550.33333333333326</v>
      </c>
      <c r="C80" s="591">
        <f t="shared" si="57"/>
        <v>140.13333333333335</v>
      </c>
      <c r="D80" s="591">
        <f t="shared" si="57"/>
        <v>7.5</v>
      </c>
      <c r="E80" s="591">
        <f t="shared" si="57"/>
        <v>697.9666666666667</v>
      </c>
      <c r="F80" s="591">
        <f t="shared" si="57"/>
        <v>631.06666666666672</v>
      </c>
      <c r="G80" s="591">
        <f t="shared" si="57"/>
        <v>169</v>
      </c>
      <c r="H80" s="591">
        <f t="shared" si="57"/>
        <v>10.5</v>
      </c>
      <c r="I80" s="591">
        <f t="shared" si="57"/>
        <v>810.56666666666661</v>
      </c>
      <c r="J80" s="594">
        <f t="shared" si="51"/>
        <v>0.1613257557667509</v>
      </c>
      <c r="K80" s="591">
        <f>+K52+K59+K66+K73+K79</f>
        <v>740.4</v>
      </c>
      <c r="L80" s="591">
        <f>+L52+L59+L66+L73+L79</f>
        <v>171.79999999999998</v>
      </c>
      <c r="M80" s="591">
        <f>+M52+M59+M66+M73+M79</f>
        <v>3.75</v>
      </c>
      <c r="N80" s="591">
        <f>+N52+N59+N66+N73+N79</f>
        <v>915.95</v>
      </c>
      <c r="O80" s="594">
        <f t="shared" si="52"/>
        <v>0.13001192581321724</v>
      </c>
      <c r="P80" s="591">
        <f>+P52+P59+P66+P73+P79</f>
        <v>830.13333333333333</v>
      </c>
      <c r="Q80" s="591">
        <f>+Q52+Q59+Q66+Q73+Q79</f>
        <v>150.73333333333335</v>
      </c>
      <c r="R80" s="591">
        <f>+R52+R59+R66+R73+R79</f>
        <v>9</v>
      </c>
      <c r="S80" s="591">
        <f>+S52+S59+S66+S73+S79</f>
        <v>989.86666666666667</v>
      </c>
      <c r="T80" s="594">
        <f t="shared" si="53"/>
        <v>8.0699455938278972E-2</v>
      </c>
      <c r="U80" s="591">
        <f>+U52+U59+U66+U73+U79</f>
        <v>828.06666666666661</v>
      </c>
      <c r="V80" s="591">
        <f>+V52+V59+V66+V73+V79</f>
        <v>142.73333333333332</v>
      </c>
      <c r="W80" s="591">
        <f>+W52+W59+W66+W73+W79</f>
        <v>3.75</v>
      </c>
      <c r="X80" s="591">
        <f>+X52+X59+X66+X73+X79</f>
        <v>974.55000000000007</v>
      </c>
      <c r="Y80" s="853">
        <f t="shared" si="54"/>
        <v>-1.547346443965511E-2</v>
      </c>
      <c r="Z80" s="591">
        <f>+Z52+Z59+Z66+Z73+Z79</f>
        <v>783.06666666666661</v>
      </c>
      <c r="AA80" s="591">
        <f>+AA52+AA59+AA66+AA73+AA79</f>
        <v>165.06666666666666</v>
      </c>
      <c r="AB80" s="591">
        <f>+AB52+AB59+AB66+AB73+AB79</f>
        <v>5.25</v>
      </c>
      <c r="AC80" s="591">
        <f>+AC52+AC59+AC66+AC73+AC79</f>
        <v>953.38333333333344</v>
      </c>
      <c r="AD80" s="643">
        <f t="shared" si="55"/>
        <v>-2.1719426059890849E-2</v>
      </c>
    </row>
    <row r="81" spans="1:38" ht="14.25" customHeight="1" thickTop="1" x14ac:dyDescent="0.25">
      <c r="A81" s="604"/>
      <c r="B81" s="335"/>
      <c r="C81" s="335"/>
      <c r="D81" s="335"/>
      <c r="E81" s="335"/>
      <c r="F81" s="335"/>
      <c r="G81" s="335"/>
      <c r="H81" s="335"/>
      <c r="I81" s="335"/>
      <c r="J81" s="598"/>
      <c r="K81" s="328"/>
      <c r="L81" s="328"/>
      <c r="M81" s="328"/>
      <c r="N81" s="328"/>
      <c r="O81" s="328"/>
      <c r="P81" s="328"/>
      <c r="Q81" s="328"/>
      <c r="R81" s="328"/>
      <c r="S81" s="328"/>
      <c r="T81" s="328"/>
      <c r="U81" s="328"/>
      <c r="V81" s="328"/>
      <c r="W81" s="328"/>
      <c r="X81" s="328"/>
      <c r="Y81" s="328"/>
      <c r="Z81" s="328"/>
      <c r="AA81" s="328"/>
      <c r="AB81" s="328"/>
      <c r="AC81" s="328"/>
      <c r="AD81" s="328"/>
      <c r="AE81" s="328"/>
      <c r="AF81" s="328"/>
      <c r="AG81" s="328"/>
      <c r="AH81" s="328"/>
      <c r="AI81" s="328"/>
      <c r="AJ81" s="328"/>
      <c r="AK81" s="328"/>
      <c r="AL81" s="328"/>
    </row>
    <row r="82" spans="1:38" ht="14.25" customHeight="1" thickBot="1" x14ac:dyDescent="0.3">
      <c r="A82" s="604"/>
      <c r="B82" s="335"/>
      <c r="C82" s="335"/>
      <c r="D82" s="335"/>
      <c r="E82" s="335"/>
      <c r="F82" s="335"/>
      <c r="G82" s="335"/>
      <c r="H82" s="335"/>
      <c r="I82" s="335"/>
      <c r="J82" s="598"/>
      <c r="K82" s="328"/>
      <c r="L82" s="328"/>
      <c r="M82" s="328"/>
      <c r="N82" s="328"/>
      <c r="O82" s="328"/>
      <c r="P82" s="328"/>
      <c r="Q82" s="328"/>
      <c r="R82" s="328"/>
      <c r="S82" s="328"/>
      <c r="T82" s="328"/>
      <c r="U82" s="328"/>
      <c r="V82" s="328"/>
      <c r="W82" s="328"/>
      <c r="X82" s="328"/>
      <c r="Y82" s="328"/>
      <c r="Z82" s="328"/>
      <c r="AA82" s="328"/>
      <c r="AB82" s="328"/>
      <c r="AC82" s="328"/>
      <c r="AD82" s="328"/>
      <c r="AE82" s="328"/>
      <c r="AF82" s="328"/>
      <c r="AG82" s="328"/>
      <c r="AH82" s="328"/>
      <c r="AI82" s="328"/>
      <c r="AJ82" s="328"/>
      <c r="AK82" s="328"/>
      <c r="AL82" s="328"/>
    </row>
    <row r="83" spans="1:38" customFormat="1" ht="18" thickBot="1" x14ac:dyDescent="0.35">
      <c r="A83" s="1718" t="s">
        <v>400</v>
      </c>
      <c r="B83" s="1719"/>
      <c r="C83" s="1719"/>
      <c r="D83" s="1719"/>
      <c r="E83" s="1719"/>
      <c r="F83" s="1719"/>
      <c r="G83" s="1719"/>
      <c r="H83" s="1719"/>
      <c r="I83" s="1719"/>
      <c r="J83" s="1719"/>
      <c r="K83" s="1719"/>
      <c r="L83" s="1719"/>
      <c r="M83" s="1719"/>
      <c r="N83" s="1719"/>
      <c r="O83" s="1719"/>
      <c r="P83" s="1719"/>
      <c r="Q83" s="1719"/>
      <c r="R83" s="1719"/>
      <c r="S83" s="1719"/>
      <c r="T83" s="1719"/>
      <c r="U83" s="1719"/>
      <c r="V83" s="1719"/>
      <c r="W83" s="1719"/>
      <c r="X83" s="1719"/>
      <c r="Y83" s="1719"/>
      <c r="Z83" s="1719"/>
      <c r="AA83" s="1719"/>
      <c r="AB83" s="1719"/>
      <c r="AC83" s="1719"/>
      <c r="AD83" s="1720"/>
    </row>
    <row r="84" spans="1:38" ht="26.4" x14ac:dyDescent="0.25">
      <c r="A84" s="1723" t="s">
        <v>952</v>
      </c>
      <c r="B84" s="148" t="s">
        <v>954</v>
      </c>
      <c r="C84" s="148" t="s">
        <v>955</v>
      </c>
      <c r="D84" s="148" t="s">
        <v>956</v>
      </c>
      <c r="E84" s="820" t="s">
        <v>1015</v>
      </c>
      <c r="F84" s="148" t="s">
        <v>954</v>
      </c>
      <c r="G84" s="148" t="s">
        <v>955</v>
      </c>
      <c r="H84" s="148" t="s">
        <v>956</v>
      </c>
      <c r="I84" s="823" t="s">
        <v>1015</v>
      </c>
      <c r="J84" s="820" t="s">
        <v>1017</v>
      </c>
      <c r="K84" s="148" t="s">
        <v>954</v>
      </c>
      <c r="L84" s="148" t="s">
        <v>955</v>
      </c>
      <c r="M84" s="148" t="s">
        <v>956</v>
      </c>
      <c r="N84" s="823" t="s">
        <v>1015</v>
      </c>
      <c r="O84" s="820" t="s">
        <v>1017</v>
      </c>
      <c r="P84" s="148" t="s">
        <v>954</v>
      </c>
      <c r="Q84" s="148" t="s">
        <v>955</v>
      </c>
      <c r="R84" s="148" t="s">
        <v>956</v>
      </c>
      <c r="S84" s="823" t="s">
        <v>1015</v>
      </c>
      <c r="T84" s="820" t="s">
        <v>1017</v>
      </c>
      <c r="U84" s="148" t="s">
        <v>954</v>
      </c>
      <c r="V84" s="148" t="s">
        <v>955</v>
      </c>
      <c r="W84" s="148" t="s">
        <v>956</v>
      </c>
      <c r="X84" s="823" t="s">
        <v>1015</v>
      </c>
      <c r="Y84" s="821" t="s">
        <v>1017</v>
      </c>
      <c r="Z84" s="148" t="s">
        <v>954</v>
      </c>
      <c r="AA84" s="148" t="s">
        <v>955</v>
      </c>
      <c r="AB84" s="148" t="s">
        <v>956</v>
      </c>
      <c r="AC84" s="823" t="s">
        <v>1015</v>
      </c>
      <c r="AD84" s="779" t="s">
        <v>1017</v>
      </c>
      <c r="AE84" s="328"/>
      <c r="AF84" s="328"/>
      <c r="AG84" s="328"/>
      <c r="AH84" s="329"/>
      <c r="AI84" s="328"/>
      <c r="AJ84" s="328"/>
      <c r="AK84" s="328"/>
      <c r="AL84" s="328"/>
    </row>
    <row r="85" spans="1:38" x14ac:dyDescent="0.25">
      <c r="A85" s="1724"/>
      <c r="B85" s="740" t="s">
        <v>1441</v>
      </c>
      <c r="C85" s="148"/>
      <c r="D85" s="148"/>
      <c r="E85" s="729"/>
      <c r="F85" s="740" t="s">
        <v>1440</v>
      </c>
      <c r="G85" s="148"/>
      <c r="H85" s="148"/>
      <c r="I85" s="148"/>
      <c r="J85" s="818"/>
      <c r="K85" s="1726" t="s">
        <v>1390</v>
      </c>
      <c r="L85" s="1727"/>
      <c r="M85" s="1727"/>
      <c r="N85" s="1727"/>
      <c r="O85" s="1728"/>
      <c r="P85" s="819" t="s">
        <v>1391</v>
      </c>
      <c r="Q85" s="148"/>
      <c r="R85" s="148"/>
      <c r="S85" s="148"/>
      <c r="T85" s="818"/>
      <c r="U85" s="819" t="s">
        <v>1392</v>
      </c>
      <c r="V85" s="148"/>
      <c r="W85" s="148"/>
      <c r="X85" s="148"/>
      <c r="Y85" s="818"/>
      <c r="Z85" s="819" t="s">
        <v>1517</v>
      </c>
      <c r="AA85" s="148"/>
      <c r="AB85" s="148"/>
      <c r="AC85" s="148"/>
      <c r="AD85" s="741"/>
      <c r="AE85" s="328"/>
      <c r="AF85" s="328"/>
      <c r="AG85" s="328"/>
      <c r="AH85" s="328"/>
      <c r="AI85" s="328"/>
      <c r="AJ85" s="328"/>
      <c r="AK85" s="328"/>
      <c r="AL85" s="328"/>
    </row>
    <row r="86" spans="1:38" x14ac:dyDescent="0.25">
      <c r="A86" s="564" t="s">
        <v>402</v>
      </c>
      <c r="B86" s="151"/>
      <c r="C86" s="152"/>
      <c r="D86" s="152"/>
      <c r="E86" s="153"/>
      <c r="F86" s="151"/>
      <c r="G86" s="152"/>
      <c r="H86" s="152"/>
      <c r="I86" s="152"/>
      <c r="J86" s="330"/>
      <c r="K86" s="151"/>
      <c r="L86" s="152"/>
      <c r="M86" s="152"/>
      <c r="N86" s="152"/>
      <c r="O86" s="330"/>
      <c r="P86" s="151"/>
      <c r="Q86" s="152"/>
      <c r="R86" s="152"/>
      <c r="S86" s="152"/>
      <c r="T86" s="330"/>
      <c r="U86" s="151"/>
      <c r="V86" s="152"/>
      <c r="W86" s="152"/>
      <c r="X86" s="152"/>
      <c r="Y86" s="330"/>
      <c r="Z86" s="151"/>
      <c r="AA86" s="152"/>
      <c r="AB86" s="152"/>
      <c r="AC86" s="152"/>
      <c r="AD86" s="565"/>
      <c r="AE86" s="328"/>
      <c r="AF86" s="328"/>
      <c r="AG86" s="328"/>
      <c r="AH86" s="328"/>
      <c r="AI86" s="328"/>
      <c r="AJ86" s="328"/>
      <c r="AK86" s="328"/>
      <c r="AL86" s="328"/>
    </row>
    <row r="87" spans="1:38" x14ac:dyDescent="0.25">
      <c r="A87" s="566" t="s">
        <v>1006</v>
      </c>
      <c r="B87" s="154">
        <f>+'NEW Fall CHP by DISC'!B87/15</f>
        <v>113.06666666666666</v>
      </c>
      <c r="C87" s="154">
        <f>+'NEW Fall CHP by DISC'!C87/15</f>
        <v>35.466666666666669</v>
      </c>
      <c r="D87" s="154">
        <f>+'NEW Fall CHP by DISC'!D87/12</f>
        <v>0</v>
      </c>
      <c r="E87" s="745">
        <f>SUM(B87:D87)</f>
        <v>148.53333333333333</v>
      </c>
      <c r="F87" s="154">
        <f>+'NEW Fall CHP by DISC'!F87/15</f>
        <v>102.66666666666667</v>
      </c>
      <c r="G87" s="154">
        <f>+'NEW Fall CHP by DISC'!G87/15</f>
        <v>41.4</v>
      </c>
      <c r="H87" s="154">
        <f>+'NEW Fall CHP by DISC'!H87/12</f>
        <v>0</v>
      </c>
      <c r="I87" s="154">
        <f>SUM(F87:H87)</f>
        <v>144.06666666666666</v>
      </c>
      <c r="J87" s="602">
        <f>IF(E87&gt;0,(I87-E87)/E87,(IF(I87=0,"N/A",100%)))</f>
        <v>-3.0071813285457823E-2</v>
      </c>
      <c r="K87" s="154">
        <f>+'NEW Fall CHP by DISC'!K87/15</f>
        <v>127</v>
      </c>
      <c r="L87" s="154">
        <f>+'NEW Fall CHP by DISC'!L87/15</f>
        <v>35.466666666666669</v>
      </c>
      <c r="M87" s="154">
        <f>+'NEW Fall CHP by DISC'!M87/12</f>
        <v>0</v>
      </c>
      <c r="N87" s="154">
        <f>SUM(K87:M87)</f>
        <v>162.46666666666667</v>
      </c>
      <c r="O87" s="602">
        <f>IF(I87&gt;0,(N87-I87)/I87,(IF(N87=0,"N/A",100%)))</f>
        <v>0.12771864877371591</v>
      </c>
      <c r="P87" s="154">
        <f>+'NEW Fall CHP by DISC'!P87/15</f>
        <v>149.86666666666667</v>
      </c>
      <c r="Q87" s="154">
        <f>+'NEW Fall CHP by DISC'!Q87/15</f>
        <v>37.533333333333331</v>
      </c>
      <c r="R87" s="154">
        <f>+'NEW Fall CHP by DISC'!R87/12</f>
        <v>0</v>
      </c>
      <c r="S87" s="154">
        <f>SUM(P87:R87)</f>
        <v>187.4</v>
      </c>
      <c r="T87" s="602">
        <f>IF(N87&gt;0,(S87-N87)/N87,(IF(S87=0,"N/A",100%)))</f>
        <v>0.15346737792367668</v>
      </c>
      <c r="U87" s="154">
        <f>+'NEW Fall CHP by DISC'!U87/15</f>
        <v>140.86666666666667</v>
      </c>
      <c r="V87" s="154">
        <f>+'NEW Fall CHP by DISC'!V87/15</f>
        <v>19.2</v>
      </c>
      <c r="W87" s="154">
        <f>+'NEW Fall CHP by DISC'!W87/12</f>
        <v>0</v>
      </c>
      <c r="X87" s="154">
        <f>SUM(U87:W87)</f>
        <v>160.06666666666666</v>
      </c>
      <c r="Y87" s="602">
        <f>IF(S87&gt;0,(X87-S87)/S87,(IF(X87=0,"N/A",100%)))</f>
        <v>-0.14585556741373182</v>
      </c>
      <c r="Z87" s="154">
        <f>+'NEW Fall CHP by DISC'!Z87/15</f>
        <v>138.13333333333333</v>
      </c>
      <c r="AA87" s="154">
        <f>+'NEW Fall CHP by DISC'!AA87/15</f>
        <v>20.733333333333334</v>
      </c>
      <c r="AB87" s="154">
        <f>+'NEW Fall CHP by DISC'!AB87/12</f>
        <v>0</v>
      </c>
      <c r="AC87" s="154">
        <f>SUM(Z87:AB87)</f>
        <v>158.86666666666667</v>
      </c>
      <c r="AD87" s="567">
        <f>IF(X87&gt;0,(AC87-X87)/X87,(IF(AC87=0,"N/A",100%)))</f>
        <v>-7.4968763015409541E-3</v>
      </c>
      <c r="AE87" s="328"/>
      <c r="AF87" s="328"/>
      <c r="AG87" s="328"/>
      <c r="AH87" s="328"/>
      <c r="AI87" s="328"/>
      <c r="AJ87" s="328"/>
      <c r="AK87" s="328"/>
      <c r="AL87" s="328"/>
    </row>
    <row r="88" spans="1:38" x14ac:dyDescent="0.25">
      <c r="A88" s="564" t="s">
        <v>403</v>
      </c>
      <c r="B88" s="151"/>
      <c r="C88" s="152"/>
      <c r="D88" s="152"/>
      <c r="E88" s="153"/>
      <c r="F88" s="151"/>
      <c r="G88" s="152"/>
      <c r="H88" s="152"/>
      <c r="I88" s="152"/>
      <c r="J88" s="330"/>
      <c r="K88" s="151"/>
      <c r="L88" s="152"/>
      <c r="M88" s="152"/>
      <c r="N88" s="152"/>
      <c r="O88" s="330"/>
      <c r="P88" s="151"/>
      <c r="Q88" s="152"/>
      <c r="R88" s="152"/>
      <c r="S88" s="152"/>
      <c r="T88" s="330"/>
      <c r="U88" s="151"/>
      <c r="V88" s="152"/>
      <c r="W88" s="152"/>
      <c r="X88" s="152"/>
      <c r="Y88" s="330"/>
      <c r="Z88" s="151"/>
      <c r="AA88" s="152"/>
      <c r="AB88" s="152"/>
      <c r="AC88" s="152"/>
      <c r="AD88" s="565"/>
      <c r="AE88" s="328"/>
      <c r="AF88" s="328"/>
      <c r="AG88" s="328"/>
      <c r="AH88" s="328"/>
      <c r="AI88" s="328"/>
      <c r="AJ88" s="328"/>
      <c r="AK88" s="328"/>
      <c r="AL88" s="328"/>
    </row>
    <row r="89" spans="1:38" x14ac:dyDescent="0.25">
      <c r="A89" s="566" t="s">
        <v>1302</v>
      </c>
      <c r="B89" s="154">
        <f>+'NEW Fall CHP by DISC'!B89/15</f>
        <v>26.6</v>
      </c>
      <c r="C89" s="154">
        <f>+'NEW Fall CHP by DISC'!C89/15</f>
        <v>4.4000000000000004</v>
      </c>
      <c r="D89" s="154">
        <f>+'NEW Fall CHP by DISC'!D89/12</f>
        <v>0</v>
      </c>
      <c r="E89" s="745">
        <f>SUM(B89:D89)</f>
        <v>31</v>
      </c>
      <c r="F89" s="154">
        <f>+'NEW Fall CHP by DISC'!F89/15</f>
        <v>38.533333333333331</v>
      </c>
      <c r="G89" s="154">
        <f>+'NEW Fall CHP by DISC'!G89/15</f>
        <v>4.8</v>
      </c>
      <c r="H89" s="154">
        <f>+'NEW Fall CHP by DISC'!H89/12</f>
        <v>0</v>
      </c>
      <c r="I89" s="154">
        <f>SUM(F89:H89)</f>
        <v>43.333333333333329</v>
      </c>
      <c r="J89" s="602">
        <f>IF(E89&gt;0,(I89-E89)/E89,(IF(I89=0,"N/A",100%)))</f>
        <v>0.39784946236559127</v>
      </c>
      <c r="K89" s="154">
        <f>+'NEW Fall CHP by DISC'!K89/15</f>
        <v>36.266666666666666</v>
      </c>
      <c r="L89" s="154">
        <f>+'NEW Fall CHP by DISC'!L89/15</f>
        <v>5</v>
      </c>
      <c r="M89" s="154">
        <f>+'NEW Fall CHP by DISC'!M89/12</f>
        <v>0</v>
      </c>
      <c r="N89" s="154">
        <f>SUM(K89:M89)</f>
        <v>41.266666666666666</v>
      </c>
      <c r="O89" s="602">
        <f>IF(I89&gt;0,(N89-I89)/I89,(IF(N89=0,"N/A",100%)))</f>
        <v>-4.769230769230761E-2</v>
      </c>
      <c r="P89" s="154">
        <f>+'NEW Fall CHP by DISC'!P89/15</f>
        <v>41.866666666666667</v>
      </c>
      <c r="Q89" s="154">
        <f>+'NEW Fall CHP by DISC'!Q89/15</f>
        <v>4.8</v>
      </c>
      <c r="R89" s="154">
        <f>+'NEW Fall CHP by DISC'!R89/12</f>
        <v>0</v>
      </c>
      <c r="S89" s="154">
        <f>SUM(P89:R89)</f>
        <v>46.666666666666664</v>
      </c>
      <c r="T89" s="602">
        <f>IF(N89&gt;0,(S89-N89)/N89,(IF(S89=0,"N/A",100%)))</f>
        <v>0.13085621970920838</v>
      </c>
      <c r="U89" s="154">
        <f>+'NEW Fall CHP by DISC'!U89/15</f>
        <v>36.799999999999997</v>
      </c>
      <c r="V89" s="154">
        <f>+'NEW Fall CHP by DISC'!V89/15</f>
        <v>8</v>
      </c>
      <c r="W89" s="154">
        <f>+'NEW Fall CHP by DISC'!W89/12</f>
        <v>0</v>
      </c>
      <c r="X89" s="154">
        <f>SUM(U89:W89)</f>
        <v>44.8</v>
      </c>
      <c r="Y89" s="602">
        <f>IF(S89&gt;0,(X89-S89)/S89,(IF(X89=0,"N/A",100%)))</f>
        <v>-4.0000000000000015E-2</v>
      </c>
      <c r="Z89" s="154">
        <f>+'NEW Fall CHP by DISC'!Z89/15</f>
        <v>39.200000000000003</v>
      </c>
      <c r="AA89" s="154">
        <f>+'NEW Fall CHP by DISC'!AA89/15</f>
        <v>5</v>
      </c>
      <c r="AB89" s="154">
        <f>+'NEW Fall CHP by DISC'!AB89/12</f>
        <v>0</v>
      </c>
      <c r="AC89" s="154">
        <f>SUM(Z89:AB89)</f>
        <v>44.2</v>
      </c>
      <c r="AD89" s="567">
        <f>IF(X89&gt;0,(AC89-X89)/X89,(IF(AC89=0,"N/A",100%)))</f>
        <v>-1.3392857142857017E-2</v>
      </c>
      <c r="AE89" s="328"/>
      <c r="AF89" s="328"/>
      <c r="AG89" s="328"/>
      <c r="AH89" s="328"/>
      <c r="AI89" s="328"/>
      <c r="AJ89" s="328"/>
      <c r="AK89" s="328"/>
      <c r="AL89" s="328"/>
    </row>
    <row r="90" spans="1:38" x14ac:dyDescent="0.25">
      <c r="A90" s="566" t="s">
        <v>799</v>
      </c>
      <c r="B90" s="154">
        <f>+'NEW Fall CHP by DISC'!B90/15</f>
        <v>171.6</v>
      </c>
      <c r="C90" s="154">
        <f>+'NEW Fall CHP by DISC'!C90/15</f>
        <v>7.2</v>
      </c>
      <c r="D90" s="154">
        <f>+'NEW Fall CHP by DISC'!D90/12</f>
        <v>0</v>
      </c>
      <c r="E90" s="745">
        <f>SUM(B90:D90)</f>
        <v>178.79999999999998</v>
      </c>
      <c r="F90" s="154">
        <f>+'NEW Fall CHP by DISC'!F90/15</f>
        <v>172.6</v>
      </c>
      <c r="G90" s="154">
        <f>+'NEW Fall CHP by DISC'!G90/15</f>
        <v>9.4</v>
      </c>
      <c r="H90" s="154">
        <f>+'NEW Fall CHP by DISC'!H90/12</f>
        <v>0</v>
      </c>
      <c r="I90" s="154">
        <f>SUM(F90:H90)</f>
        <v>182</v>
      </c>
      <c r="J90" s="602">
        <f>IF(E90&gt;0,(I90-E90)/E90,(IF(I90=0,"N/A",100%)))</f>
        <v>1.7897091722595175E-2</v>
      </c>
      <c r="K90" s="154">
        <f>+'NEW Fall CHP by DISC'!K90/15</f>
        <v>181.4</v>
      </c>
      <c r="L90" s="154">
        <f>+'NEW Fall CHP by DISC'!L90/15</f>
        <v>7.4</v>
      </c>
      <c r="M90" s="154">
        <f>+'NEW Fall CHP by DISC'!M90/12</f>
        <v>0</v>
      </c>
      <c r="N90" s="154">
        <f>SUM(K90:M90)</f>
        <v>188.8</v>
      </c>
      <c r="O90" s="602">
        <f>IF(I90&gt;0,(N90-I90)/I90,(IF(N90=0,"N/A",100%)))</f>
        <v>3.7362637362637424E-2</v>
      </c>
      <c r="P90" s="154">
        <f>+'NEW Fall CHP by DISC'!P90/15</f>
        <v>212.13333333333333</v>
      </c>
      <c r="Q90" s="154">
        <f>+'NEW Fall CHP by DISC'!Q90/15</f>
        <v>7.2</v>
      </c>
      <c r="R90" s="154">
        <f>+'NEW Fall CHP by DISC'!R90/12</f>
        <v>0</v>
      </c>
      <c r="S90" s="154">
        <f>SUM(P90:R90)</f>
        <v>219.33333333333331</v>
      </c>
      <c r="T90" s="602">
        <f>IF(N90&gt;0,(S90-N90)/N90,(IF(S90=0,"N/A",100%)))</f>
        <v>0.16172316384180774</v>
      </c>
      <c r="U90" s="154">
        <f>+'NEW Fall CHP by DISC'!U90/15</f>
        <v>193.66666666666666</v>
      </c>
      <c r="V90" s="154">
        <f>+'NEW Fall CHP by DISC'!V90/15</f>
        <v>8.8000000000000007</v>
      </c>
      <c r="W90" s="154">
        <f>+'NEW Fall CHP by DISC'!W90/12</f>
        <v>0</v>
      </c>
      <c r="X90" s="154">
        <f>SUM(U90:W90)</f>
        <v>202.46666666666667</v>
      </c>
      <c r="Y90" s="602">
        <f>IF(S90&gt;0,(X90-S90)/S90,(IF(X90=0,"N/A",100%)))</f>
        <v>-7.689969604863213E-2</v>
      </c>
      <c r="Z90" s="154">
        <f>+'NEW Fall CHP by DISC'!Z90/15</f>
        <v>182.26666666666668</v>
      </c>
      <c r="AA90" s="154">
        <f>+'NEW Fall CHP by DISC'!AA90/15</f>
        <v>12.2</v>
      </c>
      <c r="AB90" s="154">
        <f>+'NEW Fall CHP by DISC'!AB90/12</f>
        <v>0</v>
      </c>
      <c r="AC90" s="154">
        <f>SUM(Z90:AB90)</f>
        <v>194.46666666666667</v>
      </c>
      <c r="AD90" s="567">
        <f>IF(X90&gt;0,(AC90-X90)/X90,(IF(AC90=0,"N/A",100%)))</f>
        <v>-3.9512676983865659E-2</v>
      </c>
      <c r="AE90" s="328"/>
      <c r="AF90" s="328"/>
      <c r="AG90" s="328"/>
      <c r="AH90" s="328"/>
      <c r="AI90" s="328"/>
      <c r="AJ90" s="328"/>
      <c r="AK90" s="328"/>
      <c r="AL90" s="328"/>
    </row>
    <row r="91" spans="1:38" s="575" customFormat="1" ht="13.8" x14ac:dyDescent="0.25">
      <c r="A91" s="615" t="s">
        <v>961</v>
      </c>
      <c r="B91" s="611">
        <f t="shared" ref="B91:I91" si="58">SUM(B89:B90)</f>
        <v>198.2</v>
      </c>
      <c r="C91" s="611">
        <f t="shared" si="58"/>
        <v>11.600000000000001</v>
      </c>
      <c r="D91" s="611">
        <f t="shared" si="58"/>
        <v>0</v>
      </c>
      <c r="E91" s="748">
        <f t="shared" si="58"/>
        <v>209.79999999999998</v>
      </c>
      <c r="F91" s="611">
        <f t="shared" si="58"/>
        <v>211.13333333333333</v>
      </c>
      <c r="G91" s="611">
        <f t="shared" si="58"/>
        <v>14.2</v>
      </c>
      <c r="H91" s="611">
        <f t="shared" si="58"/>
        <v>0</v>
      </c>
      <c r="I91" s="611">
        <f t="shared" si="58"/>
        <v>225.33333333333331</v>
      </c>
      <c r="J91" s="731">
        <f>IF(E91&gt;0,(I91-E91)/E91,(IF(I91=0,"N/A",100%)))</f>
        <v>7.4038767079758497E-2</v>
      </c>
      <c r="K91" s="611">
        <f>SUM(K89:K90)</f>
        <v>217.66666666666669</v>
      </c>
      <c r="L91" s="611">
        <f>SUM(L89:L90)</f>
        <v>12.4</v>
      </c>
      <c r="M91" s="611">
        <f>SUM(M89:M90)</f>
        <v>0</v>
      </c>
      <c r="N91" s="611">
        <f>SUM(N89:N90)</f>
        <v>230.06666666666666</v>
      </c>
      <c r="O91" s="731">
        <f>IF(I91&gt;0,(N91-I91)/I91,(IF(N91=0,"N/A",100%)))</f>
        <v>2.1005917159763382E-2</v>
      </c>
      <c r="P91" s="611">
        <f>SUM(P89:P90)</f>
        <v>254</v>
      </c>
      <c r="Q91" s="611">
        <f>SUM(Q89:Q90)</f>
        <v>12</v>
      </c>
      <c r="R91" s="611">
        <f>SUM(R89:R90)</f>
        <v>0</v>
      </c>
      <c r="S91" s="611">
        <f>SUM(S89:S90)</f>
        <v>266</v>
      </c>
      <c r="T91" s="731">
        <f>IF(N91&gt;0,(S91-N91)/N91,(IF(S91=0,"N/A",100%)))</f>
        <v>0.15618661257606492</v>
      </c>
      <c r="U91" s="611">
        <f>SUM(U89:U90)</f>
        <v>230.46666666666664</v>
      </c>
      <c r="V91" s="611">
        <f>SUM(V89:V90)</f>
        <v>16.8</v>
      </c>
      <c r="W91" s="611">
        <f>SUM(W89:W90)</f>
        <v>0</v>
      </c>
      <c r="X91" s="611">
        <f>SUM(X89:X90)</f>
        <v>247.26666666666665</v>
      </c>
      <c r="Y91" s="731">
        <f>IF(S91&gt;0,(X91-S91)/S91,(IF(X91=0,"N/A",100%)))</f>
        <v>-7.0426065162907323E-2</v>
      </c>
      <c r="Z91" s="611">
        <f>SUM(Z89:Z90)</f>
        <v>221.4666666666667</v>
      </c>
      <c r="AA91" s="611">
        <f>SUM(AA89:AA90)</f>
        <v>17.2</v>
      </c>
      <c r="AB91" s="611">
        <f>SUM(AB89:AB90)</f>
        <v>0</v>
      </c>
      <c r="AC91" s="611">
        <f>SUM(AC89:AC90)</f>
        <v>238.66666666666669</v>
      </c>
      <c r="AD91" s="614">
        <f>IF(X91&gt;0,(AC91-X91)/X91,(IF(AC91=0,"N/A",100%)))</f>
        <v>-3.4780264222162169E-2</v>
      </c>
    </row>
    <row r="92" spans="1:38" customFormat="1" x14ac:dyDescent="0.25">
      <c r="A92" s="640" t="s">
        <v>405</v>
      </c>
      <c r="B92" s="617"/>
      <c r="C92" s="617"/>
      <c r="D92" s="617"/>
      <c r="E92" s="618"/>
      <c r="F92" s="617"/>
      <c r="G92" s="617"/>
      <c r="H92" s="617"/>
      <c r="I92" s="617"/>
      <c r="J92" s="618"/>
      <c r="K92" s="619"/>
      <c r="L92" s="617"/>
      <c r="M92" s="617"/>
      <c r="N92" s="617"/>
      <c r="O92" s="618"/>
      <c r="P92" s="619"/>
      <c r="Q92" s="617"/>
      <c r="R92" s="617"/>
      <c r="S92" s="617"/>
      <c r="T92" s="618"/>
      <c r="U92" s="619"/>
      <c r="V92" s="617"/>
      <c r="W92" s="617"/>
      <c r="X92" s="617"/>
      <c r="Y92" s="618"/>
      <c r="Z92" s="619"/>
      <c r="AA92" s="617"/>
      <c r="AB92" s="617"/>
      <c r="AC92" s="617"/>
      <c r="AD92" s="620"/>
    </row>
    <row r="93" spans="1:38" x14ac:dyDescent="0.25">
      <c r="A93" s="566" t="s">
        <v>1007</v>
      </c>
      <c r="B93" s="154">
        <f>+'NEW Fall CHP by DISC'!B93/15</f>
        <v>99.466666666666669</v>
      </c>
      <c r="C93" s="154">
        <f>+'NEW Fall CHP by DISC'!C93/15</f>
        <v>10.933333333333334</v>
      </c>
      <c r="D93" s="154">
        <f>+'NEW Fall CHP by DISC'!D93/12</f>
        <v>0</v>
      </c>
      <c r="E93" s="375">
        <f>SUM(B93:D93)</f>
        <v>110.4</v>
      </c>
      <c r="F93" s="154">
        <f>+'NEW Fall CHP by DISC'!F93/15</f>
        <v>102.66666666666667</v>
      </c>
      <c r="G93" s="154">
        <f>+'NEW Fall CHP by DISC'!G93/15</f>
        <v>14.133333333333333</v>
      </c>
      <c r="H93" s="154">
        <f>+'NEW Fall CHP by DISC'!H93/12</f>
        <v>0</v>
      </c>
      <c r="I93" s="581">
        <f>SUM(F93:H93)</f>
        <v>116.80000000000001</v>
      </c>
      <c r="J93" s="582">
        <f>IF(E93&gt;0,(I93-E93)/E93,(IF(I93=0,"N/A",100%)))</f>
        <v>5.7971014492753672E-2</v>
      </c>
      <c r="K93" s="154">
        <f>+'NEW Fall CHP by DISC'!K93/15</f>
        <v>121.06666666666666</v>
      </c>
      <c r="L93" s="154">
        <f>+'NEW Fall CHP by DISC'!L93/15</f>
        <v>11.4</v>
      </c>
      <c r="M93" s="154">
        <f>+'NEW Fall CHP by DISC'!M93/12</f>
        <v>0</v>
      </c>
      <c r="N93" s="581">
        <f>SUM(K93:M93)</f>
        <v>132.46666666666667</v>
      </c>
      <c r="O93" s="582">
        <f>IF(I93&gt;0,(N93-I93)/I93,(IF(N93=0,"N/A",100%)))</f>
        <v>0.13413242009132412</v>
      </c>
      <c r="P93" s="154">
        <f>+'NEW Fall CHP by DISC'!P93/15</f>
        <v>134.4</v>
      </c>
      <c r="Q93" s="154">
        <f>+'NEW Fall CHP by DISC'!Q93/15</f>
        <v>11.133333333333333</v>
      </c>
      <c r="R93" s="154">
        <f>+'NEW Fall CHP by DISC'!R93/12</f>
        <v>0</v>
      </c>
      <c r="S93" s="581">
        <f>SUM(P93:R93)</f>
        <v>145.53333333333333</v>
      </c>
      <c r="T93" s="582">
        <f>IF(N93&gt;0,(S93-N93)/N93,(IF(S93=0,"N/A",100%)))</f>
        <v>9.8641167589330614E-2</v>
      </c>
      <c r="U93" s="154">
        <f>+'NEW Fall CHP by DISC'!U93/15</f>
        <v>130.93333333333334</v>
      </c>
      <c r="V93" s="154">
        <f>+'NEW Fall CHP by DISC'!V93/15</f>
        <v>10.4</v>
      </c>
      <c r="W93" s="154">
        <f>+'NEW Fall CHP by DISC'!W93/12</f>
        <v>0</v>
      </c>
      <c r="X93" s="581">
        <f>SUM(U93:W93)</f>
        <v>141.33333333333334</v>
      </c>
      <c r="Y93" s="582">
        <f>IF(S93&gt;0,(X93-S93)/S93,(IF(X93=0,"N/A",100%)))</f>
        <v>-2.8859367842418611E-2</v>
      </c>
      <c r="Z93" s="154">
        <f>+'NEW Fall CHP by DISC'!Z93/15</f>
        <v>139.73333333333332</v>
      </c>
      <c r="AA93" s="154">
        <f>+'NEW Fall CHP by DISC'!AA93/15</f>
        <v>11.333333333333334</v>
      </c>
      <c r="AB93" s="154">
        <f>+'NEW Fall CHP by DISC'!AB93/12</f>
        <v>0</v>
      </c>
      <c r="AC93" s="581">
        <f>SUM(Z93:AB93)</f>
        <v>151.06666666666666</v>
      </c>
      <c r="AD93" s="583">
        <f>IF(X93&gt;0,(AC93-X93)/X93,(IF(AC93=0,"N/A",100%)))</f>
        <v>6.8867924528301788E-2</v>
      </c>
      <c r="AE93" s="328"/>
      <c r="AF93" s="328"/>
      <c r="AG93" s="328"/>
      <c r="AH93" s="328"/>
      <c r="AI93" s="328"/>
      <c r="AJ93" s="328"/>
      <c r="AK93" s="328"/>
      <c r="AL93" s="328"/>
    </row>
    <row r="94" spans="1:38" x14ac:dyDescent="0.25">
      <c r="A94" s="566" t="s">
        <v>1008</v>
      </c>
      <c r="B94" s="154">
        <f>+'NEW Fall CHP by DISC'!B94/15</f>
        <v>0</v>
      </c>
      <c r="C94" s="154">
        <f>+'NEW Fall CHP by DISC'!C94/15</f>
        <v>0.8</v>
      </c>
      <c r="D94" s="154">
        <f>+'NEW Fall CHP by DISC'!D94/12</f>
        <v>0</v>
      </c>
      <c r="E94" s="375">
        <f>SUM(B94:D94)</f>
        <v>0.8</v>
      </c>
      <c r="F94" s="154">
        <f>+'NEW Fall CHP by DISC'!F94/15</f>
        <v>0</v>
      </c>
      <c r="G94" s="154">
        <f>+'NEW Fall CHP by DISC'!G94/15</f>
        <v>3.6</v>
      </c>
      <c r="H94" s="154">
        <f>+'NEW Fall CHP by DISC'!H94/12</f>
        <v>0</v>
      </c>
      <c r="I94" s="581">
        <f>SUM(F94:H94)</f>
        <v>3.6</v>
      </c>
      <c r="J94" s="582">
        <f>IF(E94&gt;0,(I94-E94)/E94,(IF(I94=0,"N/A",100%)))</f>
        <v>3.4999999999999996</v>
      </c>
      <c r="K94" s="154">
        <f>+'NEW Fall CHP by DISC'!K94/15</f>
        <v>0</v>
      </c>
      <c r="L94" s="154">
        <f>+'NEW Fall CHP by DISC'!L94/15</f>
        <v>3.5333333333333332</v>
      </c>
      <c r="M94" s="154">
        <f>+'NEW Fall CHP by DISC'!M94/12</f>
        <v>0</v>
      </c>
      <c r="N94" s="581">
        <f>SUM(K94:M94)</f>
        <v>3.5333333333333332</v>
      </c>
      <c r="O94" s="582">
        <f>IF(I94&gt;0,(N94-I94)/I94,(IF(N94=0,"N/A",100%)))</f>
        <v>-1.8518518518518576E-2</v>
      </c>
      <c r="P94" s="154">
        <f>+'NEW Fall CHP by DISC'!P94/15</f>
        <v>0</v>
      </c>
      <c r="Q94" s="154">
        <f>+'NEW Fall CHP by DISC'!Q94/15</f>
        <v>5.2</v>
      </c>
      <c r="R94" s="154">
        <f>+'NEW Fall CHP by DISC'!R94/12</f>
        <v>0</v>
      </c>
      <c r="S94" s="581">
        <f>SUM(P94:R94)</f>
        <v>5.2</v>
      </c>
      <c r="T94" s="582">
        <f>IF(N94&gt;0,(S94-N94)/N94,(IF(S94=0,"N/A",100%)))</f>
        <v>0.47169811320754729</v>
      </c>
      <c r="U94" s="154">
        <f>+'NEW Fall CHP by DISC'!U94/15</f>
        <v>0</v>
      </c>
      <c r="V94" s="154">
        <f>+'NEW Fall CHP by DISC'!V94/15</f>
        <v>5</v>
      </c>
      <c r="W94" s="154">
        <f>+'NEW Fall CHP by DISC'!W94/12</f>
        <v>0</v>
      </c>
      <c r="X94" s="581">
        <f>SUM(U94:W94)</f>
        <v>5</v>
      </c>
      <c r="Y94" s="582">
        <f>IF(S94&gt;0,(X94-S94)/S94,(IF(X94=0,"N/A",100%)))</f>
        <v>-3.8461538461538491E-2</v>
      </c>
      <c r="Z94" s="154">
        <f>+'NEW Fall CHP by DISC'!Z94/15</f>
        <v>0</v>
      </c>
      <c r="AA94" s="154">
        <f>+'NEW Fall CHP by DISC'!AA94/15</f>
        <v>5.8</v>
      </c>
      <c r="AB94" s="154">
        <f>+'NEW Fall CHP by DISC'!AB94/12</f>
        <v>0</v>
      </c>
      <c r="AC94" s="581">
        <f>SUM(Z94:AB94)</f>
        <v>5.8</v>
      </c>
      <c r="AD94" s="583">
        <f>IF(X94&gt;0,(AC94-X94)/X94,(IF(AC94=0,"N/A",100%)))</f>
        <v>0.15999999999999998</v>
      </c>
      <c r="AE94" s="328"/>
      <c r="AF94" s="328"/>
      <c r="AG94" s="328"/>
      <c r="AH94" s="328"/>
      <c r="AI94" s="328"/>
      <c r="AJ94" s="328"/>
      <c r="AK94" s="328"/>
      <c r="AL94" s="328"/>
    </row>
    <row r="95" spans="1:38" x14ac:dyDescent="0.25">
      <c r="A95" s="566" t="s">
        <v>1010</v>
      </c>
      <c r="B95" s="154">
        <f>+'NEW Fall CHP by DISC'!B95/15</f>
        <v>8.2666666666666675</v>
      </c>
      <c r="C95" s="154">
        <f>+'NEW Fall CHP by DISC'!C95/15</f>
        <v>0</v>
      </c>
      <c r="D95" s="154">
        <f>+'NEW Fall CHP by DISC'!D95/12</f>
        <v>0</v>
      </c>
      <c r="E95" s="375">
        <f>SUM(B95:D95)</f>
        <v>8.2666666666666675</v>
      </c>
      <c r="F95" s="154">
        <f>+'NEW Fall CHP by DISC'!F95/15</f>
        <v>8.5333333333333332</v>
      </c>
      <c r="G95" s="154">
        <f>+'NEW Fall CHP by DISC'!G95/15</f>
        <v>0</v>
      </c>
      <c r="H95" s="154">
        <f>+'NEW Fall CHP by DISC'!H95/12</f>
        <v>0</v>
      </c>
      <c r="I95" s="581">
        <f>SUM(F95:H95)</f>
        <v>8.5333333333333332</v>
      </c>
      <c r="J95" s="582">
        <f>IF(E95&gt;0,(I95-E95)/E95,(IF(I95=0,"N/A",100%)))</f>
        <v>3.2258064516128913E-2</v>
      </c>
      <c r="K95" s="154">
        <f>+'NEW Fall CHP by DISC'!K95/15</f>
        <v>8.8000000000000007</v>
      </c>
      <c r="L95" s="154">
        <f>+'NEW Fall CHP by DISC'!L95/15</f>
        <v>0</v>
      </c>
      <c r="M95" s="154">
        <f>+'NEW Fall CHP by DISC'!M95/12</f>
        <v>0</v>
      </c>
      <c r="N95" s="581">
        <f>SUM(K95:M95)</f>
        <v>8.8000000000000007</v>
      </c>
      <c r="O95" s="582">
        <f>IF(I95&gt;0,(N95-I95)/I95,(IF(N95=0,"N/A",100%)))</f>
        <v>3.1250000000000097E-2</v>
      </c>
      <c r="P95" s="154">
        <f>+'NEW Fall CHP by DISC'!P95/15</f>
        <v>10.666666666666666</v>
      </c>
      <c r="Q95" s="154">
        <f>+'NEW Fall CHP by DISC'!Q95/15</f>
        <v>0.2</v>
      </c>
      <c r="R95" s="154">
        <f>+'NEW Fall CHP by DISC'!R95/12</f>
        <v>0</v>
      </c>
      <c r="S95" s="581">
        <f>SUM(P95:R95)</f>
        <v>10.866666666666665</v>
      </c>
      <c r="T95" s="582">
        <f>IF(N95&gt;0,(S95-N95)/N95,(IF(S95=0,"N/A",100%)))</f>
        <v>0.23484848484848461</v>
      </c>
      <c r="U95" s="154">
        <f>+'NEW Fall CHP by DISC'!U95/15</f>
        <v>14.666666666666666</v>
      </c>
      <c r="V95" s="154">
        <f>+'NEW Fall CHP by DISC'!V95/15</f>
        <v>0</v>
      </c>
      <c r="W95" s="154">
        <f>+'NEW Fall CHP by DISC'!W95/12</f>
        <v>0</v>
      </c>
      <c r="X95" s="581">
        <f>SUM(U95:W95)</f>
        <v>14.666666666666666</v>
      </c>
      <c r="Y95" s="582">
        <f>IF(S95&gt;0,(X95-S95)/S95,(IF(X95=0,"N/A",100%)))</f>
        <v>0.34969325153374242</v>
      </c>
      <c r="Z95" s="154">
        <f>+'NEW Fall CHP by DISC'!Z95/15</f>
        <v>12.533333333333333</v>
      </c>
      <c r="AA95" s="154">
        <f>+'NEW Fall CHP by DISC'!AA95/15</f>
        <v>0</v>
      </c>
      <c r="AB95" s="154">
        <f>+'NEW Fall CHP by DISC'!AB95/12</f>
        <v>0</v>
      </c>
      <c r="AC95" s="581">
        <f>SUM(Z95:AB95)</f>
        <v>12.533333333333333</v>
      </c>
      <c r="AD95" s="583">
        <f>IF(X95&gt;0,(AC95-X95)/X95,(IF(AC95=0,"N/A",100%)))</f>
        <v>-0.14545454545454542</v>
      </c>
      <c r="AE95" s="328"/>
      <c r="AF95" s="328"/>
      <c r="AG95" s="328"/>
      <c r="AH95" s="328"/>
      <c r="AI95" s="328"/>
      <c r="AJ95" s="328"/>
      <c r="AK95" s="328"/>
      <c r="AL95" s="328"/>
    </row>
    <row r="96" spans="1:38" x14ac:dyDescent="0.25">
      <c r="A96" s="566" t="s">
        <v>1011</v>
      </c>
      <c r="B96" s="154">
        <f>+'NEW Fall CHP by DISC'!B96/15</f>
        <v>31.733333333333334</v>
      </c>
      <c r="C96" s="154">
        <f>+'NEW Fall CHP by DISC'!C96/15</f>
        <v>0</v>
      </c>
      <c r="D96" s="154">
        <f>+'NEW Fall CHP by DISC'!D96/12</f>
        <v>0</v>
      </c>
      <c r="E96" s="375">
        <f>SUM(B96:D96)</f>
        <v>31.733333333333334</v>
      </c>
      <c r="F96" s="154">
        <f>+'NEW Fall CHP by DISC'!F96/15</f>
        <v>31.733333333333334</v>
      </c>
      <c r="G96" s="154">
        <f>+'NEW Fall CHP by DISC'!G96/15</f>
        <v>0</v>
      </c>
      <c r="H96" s="154">
        <f>+'NEW Fall CHP by DISC'!H96/12</f>
        <v>0</v>
      </c>
      <c r="I96" s="581">
        <f>SUM(F96:H96)</f>
        <v>31.733333333333334</v>
      </c>
      <c r="J96" s="582">
        <f>IF(E96&gt;0,(I96-E96)/E96,(IF(I96=0,"N/A",100%)))</f>
        <v>0</v>
      </c>
      <c r="K96" s="154">
        <f>+'NEW Fall CHP by DISC'!K96/15</f>
        <v>32.799999999999997</v>
      </c>
      <c r="L96" s="154">
        <f>+'NEW Fall CHP by DISC'!L96/15</f>
        <v>0</v>
      </c>
      <c r="M96" s="154">
        <f>+'NEW Fall CHP by DISC'!M96/12</f>
        <v>0</v>
      </c>
      <c r="N96" s="581">
        <f>SUM(K96:M96)</f>
        <v>32.799999999999997</v>
      </c>
      <c r="O96" s="582">
        <f>IF(I96&gt;0,(N96-I96)/I96,(IF(N96=0,"N/A",100%)))</f>
        <v>3.3613445378151141E-2</v>
      </c>
      <c r="P96" s="154">
        <f>+'NEW Fall CHP by DISC'!P96/15</f>
        <v>32</v>
      </c>
      <c r="Q96" s="154">
        <f>+'NEW Fall CHP by DISC'!Q96/15</f>
        <v>0</v>
      </c>
      <c r="R96" s="154">
        <f>+'NEW Fall CHP by DISC'!R96/12</f>
        <v>0</v>
      </c>
      <c r="S96" s="581">
        <f>SUM(P96:R96)</f>
        <v>32</v>
      </c>
      <c r="T96" s="582">
        <f>IF(N96&gt;0,(S96-N96)/N96,(IF(S96=0,"N/A",100%)))</f>
        <v>-2.4390243902438939E-2</v>
      </c>
      <c r="U96" s="154">
        <f>+'NEW Fall CHP by DISC'!U96/15</f>
        <v>25.866666666666667</v>
      </c>
      <c r="V96" s="154">
        <f>+'NEW Fall CHP by DISC'!V96/15</f>
        <v>0</v>
      </c>
      <c r="W96" s="154">
        <f>+'NEW Fall CHP by DISC'!W96/12</f>
        <v>0</v>
      </c>
      <c r="X96" s="581">
        <f>SUM(U96:W96)</f>
        <v>25.866666666666667</v>
      </c>
      <c r="Y96" s="582">
        <f>IF(S96&gt;0,(X96-S96)/S96,(IF(X96=0,"N/A",100%)))</f>
        <v>-0.19166666666666665</v>
      </c>
      <c r="Z96" s="154">
        <f>+'NEW Fall CHP by DISC'!Z96/15</f>
        <v>32</v>
      </c>
      <c r="AA96" s="154">
        <f>+'NEW Fall CHP by DISC'!AA96/15</f>
        <v>0</v>
      </c>
      <c r="AB96" s="154">
        <f>+'NEW Fall CHP by DISC'!AB96/12</f>
        <v>0</v>
      </c>
      <c r="AC96" s="581">
        <f>SUM(Z96:AB96)</f>
        <v>32</v>
      </c>
      <c r="AD96" s="583">
        <f>IF(X96&gt;0,(AC96-X96)/X96,(IF(AC96=0,"N/A",100%)))</f>
        <v>0.23711340206185566</v>
      </c>
      <c r="AE96" s="328"/>
      <c r="AF96" s="328"/>
      <c r="AG96" s="328"/>
      <c r="AH96" s="328"/>
      <c r="AI96" s="328"/>
      <c r="AJ96" s="328"/>
      <c r="AK96" s="328"/>
      <c r="AL96" s="328"/>
    </row>
    <row r="97" spans="1:38" s="575" customFormat="1" ht="13.8" x14ac:dyDescent="0.25">
      <c r="A97" s="615" t="s">
        <v>961</v>
      </c>
      <c r="B97" s="586">
        <f t="shared" ref="B97:I97" si="59">SUM(B93:B96)</f>
        <v>139.46666666666667</v>
      </c>
      <c r="C97" s="586">
        <f t="shared" si="59"/>
        <v>11.733333333333334</v>
      </c>
      <c r="D97" s="586">
        <f t="shared" si="59"/>
        <v>0</v>
      </c>
      <c r="E97" s="587">
        <f t="shared" si="59"/>
        <v>151.19999999999999</v>
      </c>
      <c r="F97" s="586">
        <f t="shared" si="59"/>
        <v>142.93333333333334</v>
      </c>
      <c r="G97" s="586">
        <f t="shared" si="59"/>
        <v>17.733333333333334</v>
      </c>
      <c r="H97" s="586">
        <f t="shared" si="59"/>
        <v>0</v>
      </c>
      <c r="I97" s="586">
        <f t="shared" si="59"/>
        <v>160.66666666666669</v>
      </c>
      <c r="J97" s="588">
        <f>IF(E97&gt;0,(I97-E97)/E97,(IF(I97=0,"N/A",100%)))</f>
        <v>6.2610229276896148E-2</v>
      </c>
      <c r="K97" s="585">
        <f>SUM(K93:K96)</f>
        <v>162.66666666666669</v>
      </c>
      <c r="L97" s="586">
        <f>SUM(L93:L96)</f>
        <v>14.933333333333334</v>
      </c>
      <c r="M97" s="586">
        <f>SUM(M93:M96)</f>
        <v>0</v>
      </c>
      <c r="N97" s="586">
        <f>SUM(N93:N96)</f>
        <v>177.60000000000002</v>
      </c>
      <c r="O97" s="588">
        <f>IF(I97&gt;0,(N97-I97)/I97,(IF(N97=0,"N/A",100%)))</f>
        <v>0.10539419087136931</v>
      </c>
      <c r="P97" s="585">
        <f>SUM(P93:P96)</f>
        <v>177.06666666666666</v>
      </c>
      <c r="Q97" s="586">
        <f>SUM(Q93:Q96)</f>
        <v>16.533333333333331</v>
      </c>
      <c r="R97" s="586">
        <f>SUM(R93:R96)</f>
        <v>0</v>
      </c>
      <c r="S97" s="586">
        <f>SUM(S93:S96)</f>
        <v>193.6</v>
      </c>
      <c r="T97" s="588">
        <f>IF(N97&gt;0,(S97-N97)/N97,(IF(S97=0,"N/A",100%)))</f>
        <v>9.0090090090089919E-2</v>
      </c>
      <c r="U97" s="585">
        <f>SUM(U93:U96)</f>
        <v>171.46666666666667</v>
      </c>
      <c r="V97" s="586">
        <f>SUM(V93:V96)</f>
        <v>15.4</v>
      </c>
      <c r="W97" s="586">
        <f>SUM(W93:W96)</f>
        <v>0</v>
      </c>
      <c r="X97" s="586">
        <f>SUM(X93:X96)</f>
        <v>186.86666666666667</v>
      </c>
      <c r="Y97" s="588">
        <f>IF(S97&gt;0,(X97-S97)/S97,(IF(X97=0,"N/A",100%)))</f>
        <v>-3.4779614325068806E-2</v>
      </c>
      <c r="Z97" s="585">
        <f>SUM(Z93:Z96)</f>
        <v>184.26666666666665</v>
      </c>
      <c r="AA97" s="586">
        <f>SUM(AA93:AA96)</f>
        <v>17.133333333333333</v>
      </c>
      <c r="AB97" s="586">
        <f>SUM(AB93:AB96)</f>
        <v>0</v>
      </c>
      <c r="AC97" s="586">
        <f>SUM(AC93:AC96)</f>
        <v>201.4</v>
      </c>
      <c r="AD97" s="589">
        <f>IF(X97&gt;0,(AC97-X97)/X97,(IF(AC97=0,"N/A",100%)))</f>
        <v>7.7773813770959668E-2</v>
      </c>
    </row>
    <row r="98" spans="1:38" customFormat="1" x14ac:dyDescent="0.25">
      <c r="A98" s="640" t="s">
        <v>404</v>
      </c>
      <c r="B98" s="617"/>
      <c r="C98" s="617"/>
      <c r="D98" s="617"/>
      <c r="E98" s="618"/>
      <c r="F98" s="617"/>
      <c r="G98" s="617"/>
      <c r="H98" s="617"/>
      <c r="I98" s="617"/>
      <c r="J98" s="618"/>
      <c r="K98" s="619"/>
      <c r="L98" s="617"/>
      <c r="M98" s="617"/>
      <c r="N98" s="617"/>
      <c r="O98" s="618"/>
      <c r="P98" s="619"/>
      <c r="Q98" s="617"/>
      <c r="R98" s="617"/>
      <c r="S98" s="617"/>
      <c r="T98" s="618"/>
      <c r="U98" s="619"/>
      <c r="V98" s="617"/>
      <c r="W98" s="617"/>
      <c r="X98" s="617"/>
      <c r="Y98" s="618"/>
      <c r="Z98" s="619"/>
      <c r="AA98" s="617"/>
      <c r="AB98" s="617"/>
      <c r="AC98" s="617"/>
      <c r="AD98" s="620"/>
    </row>
    <row r="99" spans="1:38" x14ac:dyDescent="0.25">
      <c r="A99" s="579" t="s">
        <v>660</v>
      </c>
      <c r="B99" s="154">
        <f>+'NEW Fall CHP by DISC'!B99/15</f>
        <v>0.33333333333333331</v>
      </c>
      <c r="C99" s="154">
        <f>+'NEW Fall CHP by DISC'!C99/15</f>
        <v>13.866666666666667</v>
      </c>
      <c r="D99" s="154">
        <f>+'NEW Fall CHP by DISC'!D99/12</f>
        <v>0</v>
      </c>
      <c r="E99" s="375">
        <f>SUM(B99:D99)</f>
        <v>14.200000000000001</v>
      </c>
      <c r="F99" s="154">
        <f>+'NEW Fall CHP by DISC'!F99/15</f>
        <v>0.53333333333333333</v>
      </c>
      <c r="G99" s="154">
        <f>+'NEW Fall CHP by DISC'!G99/15</f>
        <v>8.5333333333333332</v>
      </c>
      <c r="H99" s="154">
        <f>+'NEW Fall CHP by DISC'!H99/12</f>
        <v>0</v>
      </c>
      <c r="I99" s="581">
        <f>SUM(F99:H99)</f>
        <v>9.0666666666666664</v>
      </c>
      <c r="J99" s="582">
        <f>IF(E99&gt;0,(I99-E99)/E99,(IF(I99=0,"N/A",100%)))</f>
        <v>-0.36150234741784043</v>
      </c>
      <c r="K99" s="154">
        <f>+'NEW Fall CHP by DISC'!K99/15</f>
        <v>0.46666666666666667</v>
      </c>
      <c r="L99" s="154">
        <f>+'NEW Fall CHP by DISC'!L99/15</f>
        <v>8.4666666666666668</v>
      </c>
      <c r="M99" s="154">
        <f>+'NEW Fall CHP by DISC'!M99/12</f>
        <v>0</v>
      </c>
      <c r="N99" s="581">
        <f>SUM(K99:M99)</f>
        <v>8.9333333333333336</v>
      </c>
      <c r="O99" s="582">
        <f>IF(I99&gt;0,(N99-I99)/I99,(IF(N99=0,"N/A",100%)))</f>
        <v>-1.4705882352941124E-2</v>
      </c>
      <c r="P99" s="154">
        <f>+'NEW Fall CHP by DISC'!P99/15</f>
        <v>0.4</v>
      </c>
      <c r="Q99" s="154">
        <f>+'NEW Fall CHP by DISC'!Q99/15</f>
        <v>11.533333333333333</v>
      </c>
      <c r="R99" s="154">
        <f>+'NEW Fall CHP by DISC'!R99/12</f>
        <v>0</v>
      </c>
      <c r="S99" s="581">
        <f>SUM(P99:R99)</f>
        <v>11.933333333333334</v>
      </c>
      <c r="T99" s="582">
        <f>IF(N99&gt;0,(S99-N99)/N99,(IF(S99=0,"N/A",100%)))</f>
        <v>0.33582089552238803</v>
      </c>
      <c r="U99" s="154">
        <f>+'NEW Fall CHP by DISC'!U99/15</f>
        <v>4.333333333333333</v>
      </c>
      <c r="V99" s="154">
        <f>+'NEW Fall CHP by DISC'!V99/15</f>
        <v>16.399999999999999</v>
      </c>
      <c r="W99" s="154">
        <f>+'NEW Fall CHP by DISC'!W99/12</f>
        <v>0</v>
      </c>
      <c r="X99" s="581">
        <f>SUM(U99:W99)</f>
        <v>20.733333333333331</v>
      </c>
      <c r="Y99" s="582">
        <f>IF(S99&gt;0,(X99-S99)/S99,(IF(X99=0,"N/A",100%)))</f>
        <v>0.73743016759776514</v>
      </c>
      <c r="Z99" s="154">
        <f>+'NEW Fall CHP by DISC'!Z99/15</f>
        <v>4.2666666666666666</v>
      </c>
      <c r="AA99" s="154">
        <f>+'NEW Fall CHP by DISC'!AA99/15</f>
        <v>13.4</v>
      </c>
      <c r="AB99" s="154">
        <f>+'NEW Fall CHP by DISC'!AB99/12</f>
        <v>0</v>
      </c>
      <c r="AC99" s="581">
        <f>SUM(Z99:AB99)</f>
        <v>17.666666666666668</v>
      </c>
      <c r="AD99" s="583">
        <f>IF(X99&gt;0,(AC99-X99)/X99,(IF(AC99=0,"N/A",100%)))</f>
        <v>-0.14790996784565899</v>
      </c>
      <c r="AE99" s="328"/>
      <c r="AF99" s="328"/>
      <c r="AG99" s="328"/>
      <c r="AH99" s="328"/>
      <c r="AI99" s="328"/>
      <c r="AJ99" s="328"/>
      <c r="AK99" s="328"/>
      <c r="AL99" s="328"/>
    </row>
    <row r="100" spans="1:38" x14ac:dyDescent="0.25">
      <c r="A100" s="579" t="s">
        <v>997</v>
      </c>
      <c r="B100" s="154">
        <f>+'NEW Fall CHP by DISC'!B100/15</f>
        <v>25.933333333333334</v>
      </c>
      <c r="C100" s="154">
        <f>+'NEW Fall CHP by DISC'!C100/15</f>
        <v>45.466666666666669</v>
      </c>
      <c r="D100" s="154">
        <f>+'NEW Fall CHP by DISC'!D100/12</f>
        <v>0</v>
      </c>
      <c r="E100" s="375">
        <f>SUM(B100:D100)</f>
        <v>71.400000000000006</v>
      </c>
      <c r="F100" s="154">
        <f>+'NEW Fall CHP by DISC'!F100/15</f>
        <v>30.066666666666666</v>
      </c>
      <c r="G100" s="154">
        <f>+'NEW Fall CHP by DISC'!G100/15</f>
        <v>47.4</v>
      </c>
      <c r="H100" s="154">
        <f>+'NEW Fall CHP by DISC'!H100/12</f>
        <v>0</v>
      </c>
      <c r="I100" s="581">
        <f>SUM(F100:H100)</f>
        <v>77.466666666666669</v>
      </c>
      <c r="J100" s="582">
        <f>IF(E100&gt;0,(I100-E100)/E100,(IF(I100=0,"N/A",100%)))</f>
        <v>8.4967320261437843E-2</v>
      </c>
      <c r="K100" s="154">
        <f>+'NEW Fall CHP by DISC'!K100/15</f>
        <v>31.2</v>
      </c>
      <c r="L100" s="154">
        <f>+'NEW Fall CHP by DISC'!L100/15</f>
        <v>59.333333333333336</v>
      </c>
      <c r="M100" s="154">
        <f>+'NEW Fall CHP by DISC'!M100/12</f>
        <v>0</v>
      </c>
      <c r="N100" s="581">
        <f>SUM(K100:M100)</f>
        <v>90.533333333333331</v>
      </c>
      <c r="O100" s="582">
        <f>IF(I100&gt;0,(N100-I100)/I100,(IF(N100=0,"N/A",100%)))</f>
        <v>0.16867469879518068</v>
      </c>
      <c r="P100" s="154">
        <f>+'NEW Fall CHP by DISC'!P100/15</f>
        <v>26.2</v>
      </c>
      <c r="Q100" s="154">
        <f>+'NEW Fall CHP by DISC'!Q100/15</f>
        <v>76.733333333333334</v>
      </c>
      <c r="R100" s="154">
        <f>+'NEW Fall CHP by DISC'!R100/12</f>
        <v>0</v>
      </c>
      <c r="S100" s="581">
        <f>SUM(P100:R100)</f>
        <v>102.93333333333334</v>
      </c>
      <c r="T100" s="582">
        <f>IF(N100&gt;0,(S100-N100)/N100,(IF(S100=0,"N/A",100%)))</f>
        <v>0.13696612665684837</v>
      </c>
      <c r="U100" s="154">
        <f>+'NEW Fall CHP by DISC'!U100/15</f>
        <v>39.666666666666664</v>
      </c>
      <c r="V100" s="154">
        <f>+'NEW Fall CHP by DISC'!V100/15</f>
        <v>88.13333333333334</v>
      </c>
      <c r="W100" s="154">
        <f>+'NEW Fall CHP by DISC'!W100/12</f>
        <v>0</v>
      </c>
      <c r="X100" s="581">
        <f>SUM(U100:W100)</f>
        <v>127.80000000000001</v>
      </c>
      <c r="Y100" s="582">
        <f>IF(S100&gt;0,(X100-S100)/S100,(IF(X100=0,"N/A",100%)))</f>
        <v>0.24158031088082907</v>
      </c>
      <c r="Z100" s="154">
        <f>+'NEW Fall CHP by DISC'!Z100/15</f>
        <v>43.533333333333331</v>
      </c>
      <c r="AA100" s="154">
        <f>+'NEW Fall CHP by DISC'!AA100/15</f>
        <v>89</v>
      </c>
      <c r="AB100" s="154">
        <f>+'NEW Fall CHP by DISC'!AB100/12</f>
        <v>0</v>
      </c>
      <c r="AC100" s="581">
        <f>SUM(Z100:AB100)</f>
        <v>132.53333333333333</v>
      </c>
      <c r="AD100" s="583">
        <f>IF(X100&gt;0,(AC100-X100)/X100,(IF(AC100=0,"N/A",100%)))</f>
        <v>3.7037037037036931E-2</v>
      </c>
      <c r="AE100" s="328"/>
      <c r="AF100" s="328"/>
      <c r="AG100" s="328"/>
      <c r="AH100" s="328"/>
      <c r="AI100" s="328"/>
      <c r="AJ100" s="328"/>
      <c r="AK100" s="328"/>
      <c r="AL100" s="328"/>
    </row>
    <row r="101" spans="1:38" s="575" customFormat="1" ht="13.8" x14ac:dyDescent="0.25">
      <c r="A101" s="584" t="s">
        <v>961</v>
      </c>
      <c r="B101" s="586">
        <f t="shared" ref="B101:I101" si="60">+B100+B99</f>
        <v>26.266666666666666</v>
      </c>
      <c r="C101" s="586">
        <f t="shared" si="60"/>
        <v>59.333333333333336</v>
      </c>
      <c r="D101" s="586">
        <f t="shared" si="60"/>
        <v>0</v>
      </c>
      <c r="E101" s="587">
        <f t="shared" si="60"/>
        <v>85.600000000000009</v>
      </c>
      <c r="F101" s="586">
        <f t="shared" si="60"/>
        <v>30.6</v>
      </c>
      <c r="G101" s="586">
        <f t="shared" si="60"/>
        <v>55.93333333333333</v>
      </c>
      <c r="H101" s="586">
        <f t="shared" si="60"/>
        <v>0</v>
      </c>
      <c r="I101" s="586">
        <f t="shared" si="60"/>
        <v>86.533333333333331</v>
      </c>
      <c r="J101" s="588">
        <f>IF(E101&gt;0,(I101-E101)/E101,(IF(I101=0,"N/A",100%)))</f>
        <v>1.0903426791277135E-2</v>
      </c>
      <c r="K101" s="585">
        <f>+K100+K99</f>
        <v>31.666666666666664</v>
      </c>
      <c r="L101" s="586">
        <f>+L100+L99</f>
        <v>67.8</v>
      </c>
      <c r="M101" s="586">
        <f>+M100+M99</f>
        <v>0</v>
      </c>
      <c r="N101" s="586">
        <f>+N100+N99</f>
        <v>99.466666666666669</v>
      </c>
      <c r="O101" s="588">
        <f>IF(I101&gt;0,(N101-I101)/I101,(IF(N101=0,"N/A",100%)))</f>
        <v>0.14946070878274273</v>
      </c>
      <c r="P101" s="585">
        <f>+P100+P99</f>
        <v>26.599999999999998</v>
      </c>
      <c r="Q101" s="586">
        <f>+Q100+Q99</f>
        <v>88.266666666666666</v>
      </c>
      <c r="R101" s="586">
        <f>+R100+R99</f>
        <v>0</v>
      </c>
      <c r="S101" s="586">
        <f>+S100+S99</f>
        <v>114.86666666666667</v>
      </c>
      <c r="T101" s="588">
        <f>IF(N101&gt;0,(S101-N101)/N101,(IF(S101=0,"N/A",100%)))</f>
        <v>0.1548257372654156</v>
      </c>
      <c r="U101" s="585">
        <f>+U100+U99</f>
        <v>44</v>
      </c>
      <c r="V101" s="586">
        <f>+V100+V99</f>
        <v>104.53333333333333</v>
      </c>
      <c r="W101" s="586">
        <f>+W100+W99</f>
        <v>0</v>
      </c>
      <c r="X101" s="586">
        <f>+X100+X99</f>
        <v>148.53333333333333</v>
      </c>
      <c r="Y101" s="588">
        <f>IF(S101&gt;0,(X101-S101)/S101,(IF(X101=0,"N/A",100%)))</f>
        <v>0.29309344167150309</v>
      </c>
      <c r="Z101" s="585">
        <f>+Z100+Z99</f>
        <v>47.8</v>
      </c>
      <c r="AA101" s="586">
        <f>+AA100+AA99</f>
        <v>102.4</v>
      </c>
      <c r="AB101" s="586">
        <f>+AB100+AB99</f>
        <v>0</v>
      </c>
      <c r="AC101" s="586">
        <f>+AC100+AC99</f>
        <v>150.19999999999999</v>
      </c>
      <c r="AD101" s="589">
        <f>IF(X101&gt;0,(AC101-X101)/X101,(IF(AC101=0,"N/A",100%)))</f>
        <v>1.1220825852782701E-2</v>
      </c>
    </row>
    <row r="102" spans="1:38" s="596" customFormat="1" ht="16.2" thickBot="1" x14ac:dyDescent="0.35">
      <c r="A102" s="590" t="s">
        <v>429</v>
      </c>
      <c r="B102" s="592">
        <f t="shared" ref="B102:I102" si="61">+B87+B91+B97+B101</f>
        <v>477</v>
      </c>
      <c r="C102" s="592">
        <f t="shared" si="61"/>
        <v>118.13333333333334</v>
      </c>
      <c r="D102" s="592">
        <f t="shared" si="61"/>
        <v>0</v>
      </c>
      <c r="E102" s="593">
        <f t="shared" si="61"/>
        <v>595.13333333333333</v>
      </c>
      <c r="F102" s="592">
        <f t="shared" si="61"/>
        <v>487.33333333333337</v>
      </c>
      <c r="G102" s="592">
        <f t="shared" si="61"/>
        <v>129.26666666666665</v>
      </c>
      <c r="H102" s="592">
        <f t="shared" si="61"/>
        <v>0</v>
      </c>
      <c r="I102" s="592">
        <f t="shared" si="61"/>
        <v>616.59999999999991</v>
      </c>
      <c r="J102" s="594">
        <f>IF(E102&gt;0,(I102-E102)/E102,(IF(I102=0,"N/A",100%)))</f>
        <v>3.6070348381314975E-2</v>
      </c>
      <c r="K102" s="591">
        <f>+K87+K91+K97+K101</f>
        <v>539</v>
      </c>
      <c r="L102" s="592">
        <f>+L87+L91+L97+L101</f>
        <v>130.6</v>
      </c>
      <c r="M102" s="592">
        <f>+M87+M91+M97+M101</f>
        <v>0</v>
      </c>
      <c r="N102" s="592">
        <f>+N87+N91+N97+N101</f>
        <v>669.6</v>
      </c>
      <c r="O102" s="594">
        <f>IF(I102&gt;0,(N102-I102)/I102,(IF(N102=0,"N/A",100%)))</f>
        <v>8.5955238404151993E-2</v>
      </c>
      <c r="P102" s="591">
        <f>+P87+P91+P97+P101</f>
        <v>607.53333333333342</v>
      </c>
      <c r="Q102" s="592">
        <f>+Q87+Q91+Q97+Q101</f>
        <v>154.33333333333331</v>
      </c>
      <c r="R102" s="592">
        <f>+R87+R91+R97+R101</f>
        <v>0</v>
      </c>
      <c r="S102" s="592">
        <f>+S87+S91+S97+S101</f>
        <v>761.86666666666667</v>
      </c>
      <c r="T102" s="594">
        <f>IF(N102&gt;0,(S102-N102)/N102,(IF(S102=0,"N/A",100%)))</f>
        <v>0.13779370768618077</v>
      </c>
      <c r="U102" s="591">
        <f>+U87+U91+U97+U101</f>
        <v>586.79999999999995</v>
      </c>
      <c r="V102" s="592">
        <f>+V87+V91+V97+V101</f>
        <v>155.93333333333334</v>
      </c>
      <c r="W102" s="592">
        <f>+W87+W91+W97+W101</f>
        <v>0</v>
      </c>
      <c r="X102" s="592">
        <f>+X87+X91+X97+X101</f>
        <v>742.73333333333335</v>
      </c>
      <c r="Y102" s="594">
        <f>IF(S102&gt;0,(X102-S102)/S102,(IF(X102=0,"N/A",100%)))</f>
        <v>-2.511375568778438E-2</v>
      </c>
      <c r="Z102" s="591">
        <f>+Z87+Z91+Z97+Z101</f>
        <v>591.66666666666663</v>
      </c>
      <c r="AA102" s="592">
        <f>+AA87+AA91+AA97+AA101</f>
        <v>157.46666666666667</v>
      </c>
      <c r="AB102" s="592">
        <f>+AB87+AB91+AB97+AB101</f>
        <v>0</v>
      </c>
      <c r="AC102" s="592">
        <f>+AC87+AC91+AC97+AC101</f>
        <v>749.13333333333344</v>
      </c>
      <c r="AD102" s="595">
        <f>IF(X102&gt;0,(AC102-X102)/X102,(IF(AC102=0,"N/A",100%)))</f>
        <v>8.6168207521767678E-3</v>
      </c>
    </row>
    <row r="103" spans="1:38" ht="14.25" customHeight="1" thickTop="1" x14ac:dyDescent="0.25">
      <c r="A103" s="604"/>
      <c r="B103" s="335"/>
      <c r="C103" s="335"/>
      <c r="D103" s="335"/>
      <c r="E103" s="335"/>
      <c r="F103" s="335"/>
      <c r="G103" s="335"/>
      <c r="H103" s="335"/>
      <c r="I103" s="335"/>
      <c r="J103" s="598"/>
      <c r="K103" s="335"/>
      <c r="L103" s="335"/>
      <c r="M103" s="335"/>
      <c r="N103" s="335"/>
      <c r="O103" s="598"/>
      <c r="P103" s="335"/>
      <c r="Q103" s="335"/>
      <c r="R103" s="335"/>
      <c r="S103" s="335"/>
      <c r="T103" s="598"/>
      <c r="U103" s="335"/>
      <c r="V103" s="335"/>
      <c r="W103" s="335"/>
      <c r="X103" s="335"/>
      <c r="Y103" s="598"/>
      <c r="Z103" s="328"/>
      <c r="AA103" s="328"/>
      <c r="AB103" s="328"/>
      <c r="AC103" s="328"/>
      <c r="AD103" s="328"/>
      <c r="AE103" s="328"/>
      <c r="AF103" s="328"/>
      <c r="AG103" s="328"/>
      <c r="AH103" s="328"/>
      <c r="AI103" s="328"/>
      <c r="AJ103" s="328"/>
      <c r="AK103" s="328"/>
      <c r="AL103" s="328"/>
    </row>
    <row r="104" spans="1:38" ht="14.25" customHeight="1" thickBot="1" x14ac:dyDescent="0.3">
      <c r="A104" s="604"/>
      <c r="B104" s="335"/>
      <c r="C104" s="335"/>
      <c r="D104" s="335"/>
      <c r="E104" s="335"/>
      <c r="F104" s="335"/>
      <c r="G104" s="335"/>
      <c r="H104" s="335"/>
      <c r="I104" s="335"/>
      <c r="J104" s="598"/>
      <c r="K104" s="335"/>
      <c r="L104" s="335"/>
      <c r="M104" s="335"/>
      <c r="N104" s="335"/>
      <c r="O104" s="598"/>
      <c r="P104" s="335"/>
      <c r="Q104" s="335"/>
      <c r="R104" s="335"/>
      <c r="S104" s="335"/>
      <c r="T104" s="598"/>
      <c r="U104" s="335"/>
      <c r="V104" s="335"/>
      <c r="W104" s="335"/>
      <c r="X104" s="335"/>
      <c r="Y104" s="598"/>
      <c r="Z104" s="328"/>
      <c r="AA104" s="328"/>
      <c r="AB104" s="328"/>
      <c r="AC104" s="328"/>
      <c r="AD104" s="328"/>
      <c r="AE104" s="328"/>
      <c r="AF104" s="328"/>
      <c r="AG104" s="328"/>
      <c r="AH104" s="328"/>
      <c r="AI104" s="328"/>
      <c r="AJ104" s="328"/>
      <c r="AK104" s="328"/>
      <c r="AL104" s="328"/>
    </row>
    <row r="105" spans="1:38" ht="13.8" thickTop="1" x14ac:dyDescent="0.25">
      <c r="A105" s="621" t="s">
        <v>930</v>
      </c>
      <c r="B105" s="622"/>
      <c r="C105" s="623"/>
      <c r="D105" s="623"/>
      <c r="E105" s="625"/>
      <c r="F105" s="622"/>
      <c r="G105" s="623"/>
      <c r="H105" s="623"/>
      <c r="I105" s="623"/>
      <c r="J105" s="624"/>
      <c r="K105" s="622"/>
      <c r="L105" s="623"/>
      <c r="M105" s="623"/>
      <c r="N105" s="623"/>
      <c r="O105" s="623"/>
      <c r="P105" s="622"/>
      <c r="Q105" s="623"/>
      <c r="R105" s="623"/>
      <c r="S105" s="623"/>
      <c r="T105" s="623"/>
      <c r="U105" s="622"/>
      <c r="V105" s="623"/>
      <c r="W105" s="623"/>
      <c r="X105" s="623"/>
      <c r="Y105" s="1136"/>
      <c r="Z105" s="622"/>
      <c r="AA105" s="623"/>
      <c r="AB105" s="623"/>
      <c r="AC105" s="623"/>
      <c r="AD105" s="626"/>
      <c r="AE105" s="328"/>
      <c r="AF105" s="328"/>
      <c r="AG105" s="328"/>
      <c r="AH105" s="328"/>
      <c r="AI105" s="328"/>
      <c r="AJ105" s="328"/>
      <c r="AK105" s="328"/>
      <c r="AL105" s="328"/>
    </row>
    <row r="106" spans="1:38" x14ac:dyDescent="0.25">
      <c r="A106" s="566" t="s">
        <v>1522</v>
      </c>
      <c r="B106" s="154">
        <f>+'NEW Fall CHP by DISC'!B106/15</f>
        <v>0</v>
      </c>
      <c r="C106" s="154">
        <f>+'NEW Fall CHP by DISC'!C106/15</f>
        <v>0</v>
      </c>
      <c r="D106" s="154">
        <f>+'NEW Fall CHP by DISC'!D106/12</f>
        <v>0</v>
      </c>
      <c r="E106" s="745">
        <f t="shared" ref="E106:E113" si="62">SUM(B106:D106)</f>
        <v>0</v>
      </c>
      <c r="F106" s="154">
        <f>+'NEW Fall CHP by DISC'!F106/15</f>
        <v>0</v>
      </c>
      <c r="G106" s="154">
        <f>+'NEW Fall CHP by DISC'!G106/15</f>
        <v>0</v>
      </c>
      <c r="H106" s="154">
        <f>+'NEW Fall CHP by DISC'!H106/12</f>
        <v>0</v>
      </c>
      <c r="I106" s="154">
        <f t="shared" ref="I106:I113" si="63">SUM(F106:H106)</f>
        <v>0</v>
      </c>
      <c r="J106" s="602" t="str">
        <f t="shared" ref="J106:J114" si="64">IF(E106&gt;0,(I106-E106)/E106,(IF(I106=0,"N/A",100%)))</f>
        <v>N/A</v>
      </c>
      <c r="K106" s="154">
        <f>+'NEW Fall CHP by DISC'!K106/15</f>
        <v>0</v>
      </c>
      <c r="L106" s="154">
        <f>+'NEW Fall CHP by DISC'!L106/15</f>
        <v>0</v>
      </c>
      <c r="M106" s="154">
        <f>+'NEW Fall CHP by DISC'!M106/12</f>
        <v>0</v>
      </c>
      <c r="N106" s="154">
        <f t="shared" ref="N106:N113" si="65">SUM(K106:M106)</f>
        <v>0</v>
      </c>
      <c r="O106" s="602" t="str">
        <f t="shared" ref="O106:O114" si="66">IF(I106&gt;0,(N106-I106)/I106,(IF(N106=0,"N/A",100%)))</f>
        <v>N/A</v>
      </c>
      <c r="P106" s="154">
        <f>+'NEW Fall CHP by DISC'!P106/15</f>
        <v>0</v>
      </c>
      <c r="Q106" s="154">
        <f>+'NEW Fall CHP by DISC'!Q106/15</f>
        <v>0</v>
      </c>
      <c r="R106" s="154">
        <f>+'NEW Fall CHP by DISC'!R106/12</f>
        <v>0</v>
      </c>
      <c r="S106" s="154">
        <f t="shared" ref="S106:S113" si="67">SUM(P106:R106)</f>
        <v>0</v>
      </c>
      <c r="T106" s="602" t="str">
        <f t="shared" ref="T106:T114" si="68">IF(N106&gt;0,(S106-N106)/N106,(IF(S106=0,"N/A",100%)))</f>
        <v>N/A</v>
      </c>
      <c r="U106" s="154">
        <f>+'NEW Fall CHP by DISC'!U106/15</f>
        <v>0</v>
      </c>
      <c r="V106" s="154">
        <f>+'NEW Fall CHP by DISC'!V106/15</f>
        <v>0</v>
      </c>
      <c r="W106" s="154">
        <f>+'NEW Fall CHP by DISC'!W106/12</f>
        <v>0</v>
      </c>
      <c r="X106" s="154">
        <f t="shared" ref="X106:X113" si="69">SUM(U106:W106)</f>
        <v>0</v>
      </c>
      <c r="Y106" s="602" t="str">
        <f t="shared" ref="Y106:Y114" si="70">IF(S106&gt;0,(X106-S106)/S106,(IF(X106=0,"N/A",100%)))</f>
        <v>N/A</v>
      </c>
      <c r="Z106" s="154">
        <f>+'NEW Fall CHP by DISC'!Z106/15</f>
        <v>0.4</v>
      </c>
      <c r="AA106" s="154">
        <f>+'NEW Fall CHP by DISC'!AA106/15</f>
        <v>0</v>
      </c>
      <c r="AB106" s="154">
        <f>+'NEW Fall CHP by DISC'!AB106/12</f>
        <v>0</v>
      </c>
      <c r="AC106" s="154">
        <f t="shared" ref="AC106:AC113" si="71">SUM(Z106:AB106)</f>
        <v>0.4</v>
      </c>
      <c r="AD106" s="567">
        <f t="shared" ref="AD106:AD114" si="72">IF(X106&gt;0,(AC106-X106)/X106,(IF(AC106=0,"N/A",100%)))</f>
        <v>1</v>
      </c>
      <c r="AE106" s="328"/>
      <c r="AF106" s="328"/>
      <c r="AG106" s="328"/>
      <c r="AH106" s="328"/>
      <c r="AI106" s="328"/>
      <c r="AJ106" s="328"/>
      <c r="AK106" s="328"/>
      <c r="AL106" s="328"/>
    </row>
    <row r="107" spans="1:38" x14ac:dyDescent="0.25">
      <c r="A107" s="566" t="s">
        <v>998</v>
      </c>
      <c r="B107" s="154">
        <f>+'NEW Fall CHP by DISC'!B107/15</f>
        <v>2.6666666666666665</v>
      </c>
      <c r="C107" s="154">
        <f>+'NEW Fall CHP by DISC'!C107/15</f>
        <v>0</v>
      </c>
      <c r="D107" s="154">
        <f>+'NEW Fall CHP by DISC'!D107/12</f>
        <v>0</v>
      </c>
      <c r="E107" s="745">
        <f t="shared" ref="E107" si="73">SUM(B107:D107)</f>
        <v>2.6666666666666665</v>
      </c>
      <c r="F107" s="154">
        <f>+'NEW Fall CHP by DISC'!F107/15</f>
        <v>3.2</v>
      </c>
      <c r="G107" s="154">
        <f>+'NEW Fall CHP by DISC'!G107/15</f>
        <v>0</v>
      </c>
      <c r="H107" s="154">
        <f>+'NEW Fall CHP by DISC'!H107/12</f>
        <v>0</v>
      </c>
      <c r="I107" s="154">
        <f t="shared" ref="I107" si="74">SUM(F107:H107)</f>
        <v>3.2</v>
      </c>
      <c r="J107" s="602">
        <f t="shared" ref="J107" si="75">IF(E107&gt;0,(I107-E107)/E107,(IF(I107=0,"N/A",100%)))</f>
        <v>0.20000000000000012</v>
      </c>
      <c r="K107" s="154">
        <f>+'NEW Fall CHP by DISC'!K107/15</f>
        <v>7.4666666666666668</v>
      </c>
      <c r="L107" s="154">
        <f>+'NEW Fall CHP by DISC'!L107/15</f>
        <v>0</v>
      </c>
      <c r="M107" s="154">
        <f>+'NEW Fall CHP by DISC'!M107/12</f>
        <v>0</v>
      </c>
      <c r="N107" s="154">
        <f t="shared" ref="N107" si="76">SUM(K107:M107)</f>
        <v>7.4666666666666668</v>
      </c>
      <c r="O107" s="602">
        <f t="shared" ref="O107" si="77">IF(I107&gt;0,(N107-I107)/I107,(IF(N107=0,"N/A",100%)))</f>
        <v>1.3333333333333333</v>
      </c>
      <c r="P107" s="154">
        <f>+'NEW Fall CHP by DISC'!P107/15</f>
        <v>9.7333333333333325</v>
      </c>
      <c r="Q107" s="154">
        <f>+'NEW Fall CHP by DISC'!Q107/15</f>
        <v>0</v>
      </c>
      <c r="R107" s="154">
        <f>+'NEW Fall CHP by DISC'!R107/12</f>
        <v>0</v>
      </c>
      <c r="S107" s="154">
        <f t="shared" ref="S107" si="78">SUM(P107:R107)</f>
        <v>9.7333333333333325</v>
      </c>
      <c r="T107" s="602">
        <f t="shared" ref="T107" si="79">IF(N107&gt;0,(S107-N107)/N107,(IF(S107=0,"N/A",100%)))</f>
        <v>0.30357142857142844</v>
      </c>
      <c r="U107" s="154">
        <f>+'NEW Fall CHP by DISC'!U107/15</f>
        <v>13.6</v>
      </c>
      <c r="V107" s="154">
        <f>+'NEW Fall CHP by DISC'!V107/15</f>
        <v>0</v>
      </c>
      <c r="W107" s="154">
        <f>+'NEW Fall CHP by DISC'!W107/12</f>
        <v>0</v>
      </c>
      <c r="X107" s="154">
        <f t="shared" ref="X107" si="80">SUM(U107:W107)</f>
        <v>13.6</v>
      </c>
      <c r="Y107" s="602">
        <f t="shared" ref="Y107" si="81">IF(S107&gt;0,(X107-S107)/S107,(IF(X107=0,"N/A",100%)))</f>
        <v>0.39726027397260283</v>
      </c>
      <c r="Z107" s="154">
        <f>+'NEW Fall CHP by DISC'!Z107/15</f>
        <v>8.9333333333333336</v>
      </c>
      <c r="AA107" s="154">
        <f>+'NEW Fall CHP by DISC'!AA107/15</f>
        <v>0</v>
      </c>
      <c r="AB107" s="154">
        <f>+'NEW Fall CHP by DISC'!AB107/12</f>
        <v>0</v>
      </c>
      <c r="AC107" s="154">
        <f t="shared" ref="AC107" si="82">SUM(Z107:AB107)</f>
        <v>8.9333333333333336</v>
      </c>
      <c r="AD107" s="567">
        <f t="shared" ref="AD107" si="83">IF(X107&gt;0,(AC107-X107)/X107,(IF(AC107=0,"N/A",100%)))</f>
        <v>-0.34313725490196073</v>
      </c>
      <c r="AE107" s="328"/>
      <c r="AF107" s="328"/>
      <c r="AG107" s="328"/>
      <c r="AH107" s="328"/>
      <c r="AI107" s="328"/>
      <c r="AJ107" s="328"/>
      <c r="AK107" s="328"/>
      <c r="AL107" s="328"/>
    </row>
    <row r="108" spans="1:38" x14ac:dyDescent="0.25">
      <c r="A108" s="566" t="s">
        <v>999</v>
      </c>
      <c r="B108" s="154">
        <f>+'NEW Fall CHP by DISC'!B108/15</f>
        <v>3.4</v>
      </c>
      <c r="C108" s="154">
        <f>+'NEW Fall CHP by DISC'!C108/15</f>
        <v>0</v>
      </c>
      <c r="D108" s="154">
        <f>+'NEW Fall CHP by DISC'!D108/12</f>
        <v>0</v>
      </c>
      <c r="E108" s="745">
        <f t="shared" si="62"/>
        <v>3.4</v>
      </c>
      <c r="F108" s="154">
        <f>+'NEW Fall CHP by DISC'!F108/15</f>
        <v>4.5999999999999996</v>
      </c>
      <c r="G108" s="154">
        <f>+'NEW Fall CHP by DISC'!G108/15</f>
        <v>0</v>
      </c>
      <c r="H108" s="154">
        <f>+'NEW Fall CHP by DISC'!H108/12</f>
        <v>0</v>
      </c>
      <c r="I108" s="154">
        <f t="shared" si="63"/>
        <v>4.5999999999999996</v>
      </c>
      <c r="J108" s="602">
        <f t="shared" si="64"/>
        <v>0.35294117647058815</v>
      </c>
      <c r="K108" s="154">
        <f>+'NEW Fall CHP by DISC'!K108/15</f>
        <v>4.4000000000000004</v>
      </c>
      <c r="L108" s="154">
        <f>+'NEW Fall CHP by DISC'!L108/15</f>
        <v>0</v>
      </c>
      <c r="M108" s="154">
        <f>+'NEW Fall CHP by DISC'!M108/12</f>
        <v>0</v>
      </c>
      <c r="N108" s="154">
        <f t="shared" si="65"/>
        <v>4.4000000000000004</v>
      </c>
      <c r="O108" s="602">
        <f t="shared" si="66"/>
        <v>-4.3478260869565064E-2</v>
      </c>
      <c r="P108" s="154">
        <f>+'NEW Fall CHP by DISC'!P108/15</f>
        <v>3.2</v>
      </c>
      <c r="Q108" s="154">
        <f>+'NEW Fall CHP by DISC'!Q108/15</f>
        <v>0</v>
      </c>
      <c r="R108" s="154">
        <f>+'NEW Fall CHP by DISC'!R108/12</f>
        <v>0</v>
      </c>
      <c r="S108" s="154">
        <f t="shared" si="67"/>
        <v>3.2</v>
      </c>
      <c r="T108" s="602">
        <f t="shared" si="68"/>
        <v>-0.27272727272727276</v>
      </c>
      <c r="U108" s="154">
        <f>+'NEW Fall CHP by DISC'!U108/15</f>
        <v>6.4</v>
      </c>
      <c r="V108" s="154">
        <f>+'NEW Fall CHP by DISC'!V108/15</f>
        <v>0</v>
      </c>
      <c r="W108" s="154">
        <f>+'NEW Fall CHP by DISC'!W108/12</f>
        <v>0</v>
      </c>
      <c r="X108" s="154">
        <f t="shared" si="69"/>
        <v>6.4</v>
      </c>
      <c r="Y108" s="602">
        <f t="shared" si="70"/>
        <v>1</v>
      </c>
      <c r="Z108" s="154">
        <f>+'NEW Fall CHP by DISC'!Z108/15</f>
        <v>6.8</v>
      </c>
      <c r="AA108" s="154">
        <f>+'NEW Fall CHP by DISC'!AA108/15</f>
        <v>0</v>
      </c>
      <c r="AB108" s="154">
        <f>+'NEW Fall CHP by DISC'!AB108/12</f>
        <v>0</v>
      </c>
      <c r="AC108" s="154">
        <f t="shared" si="71"/>
        <v>6.8</v>
      </c>
      <c r="AD108" s="567">
        <f t="shared" si="72"/>
        <v>6.2499999999999917E-2</v>
      </c>
      <c r="AE108" s="328"/>
      <c r="AF108" s="328"/>
      <c r="AG108" s="328"/>
      <c r="AH108" s="328"/>
      <c r="AI108" s="328"/>
      <c r="AJ108" s="328"/>
      <c r="AK108" s="328"/>
      <c r="AL108" s="328"/>
    </row>
    <row r="109" spans="1:38" x14ac:dyDescent="0.25">
      <c r="A109" s="566" t="s">
        <v>1000</v>
      </c>
      <c r="B109" s="154">
        <f>+'NEW Fall CHP by DISC'!B109/15</f>
        <v>0</v>
      </c>
      <c r="C109" s="154">
        <f>+'NEW Fall CHP by DISC'!C109/15</f>
        <v>0</v>
      </c>
      <c r="D109" s="154">
        <f>+'NEW Fall CHP by DISC'!D109/12</f>
        <v>0</v>
      </c>
      <c r="E109" s="745">
        <f t="shared" si="62"/>
        <v>0</v>
      </c>
      <c r="F109" s="154">
        <f>+'NEW Fall CHP by DISC'!F109/15</f>
        <v>0</v>
      </c>
      <c r="G109" s="154">
        <f>+'NEW Fall CHP by DISC'!G109/15</f>
        <v>0</v>
      </c>
      <c r="H109" s="154">
        <f>+'NEW Fall CHP by DISC'!H109/12</f>
        <v>0</v>
      </c>
      <c r="I109" s="154">
        <f t="shared" si="63"/>
        <v>0</v>
      </c>
      <c r="J109" s="602" t="str">
        <f t="shared" si="64"/>
        <v>N/A</v>
      </c>
      <c r="K109" s="154">
        <f>+'NEW Fall CHP by DISC'!K109/15</f>
        <v>0</v>
      </c>
      <c r="L109" s="154">
        <f>+'NEW Fall CHP by DISC'!L109/15</f>
        <v>0</v>
      </c>
      <c r="M109" s="154">
        <f>+'NEW Fall CHP by DISC'!M109/12</f>
        <v>0</v>
      </c>
      <c r="N109" s="154">
        <f t="shared" si="65"/>
        <v>0</v>
      </c>
      <c r="O109" s="602" t="str">
        <f t="shared" si="66"/>
        <v>N/A</v>
      </c>
      <c r="P109" s="154">
        <f>+'NEW Fall CHP by DISC'!P109/15</f>
        <v>0</v>
      </c>
      <c r="Q109" s="154">
        <f>+'NEW Fall CHP by DISC'!Q109/15</f>
        <v>0</v>
      </c>
      <c r="R109" s="154">
        <f>+'NEW Fall CHP by DISC'!R109/12</f>
        <v>0</v>
      </c>
      <c r="S109" s="154">
        <f t="shared" si="67"/>
        <v>0</v>
      </c>
      <c r="T109" s="602" t="str">
        <f t="shared" si="68"/>
        <v>N/A</v>
      </c>
      <c r="U109" s="154">
        <f>+'NEW Fall CHP by DISC'!U109/15</f>
        <v>0</v>
      </c>
      <c r="V109" s="154">
        <f>+'NEW Fall CHP by DISC'!V109/15</f>
        <v>0</v>
      </c>
      <c r="W109" s="154">
        <f>+'NEW Fall CHP by DISC'!W109/12</f>
        <v>0</v>
      </c>
      <c r="X109" s="154">
        <f t="shared" si="69"/>
        <v>0</v>
      </c>
      <c r="Y109" s="602" t="str">
        <f t="shared" si="70"/>
        <v>N/A</v>
      </c>
      <c r="Z109" s="154">
        <f>+'NEW Fall CHP by DISC'!Z109/15</f>
        <v>0</v>
      </c>
      <c r="AA109" s="154">
        <f>+'NEW Fall CHP by DISC'!AA109/15</f>
        <v>0</v>
      </c>
      <c r="AB109" s="154">
        <f>+'NEW Fall CHP by DISC'!AB109/12</f>
        <v>0</v>
      </c>
      <c r="AC109" s="154">
        <f t="shared" si="71"/>
        <v>0</v>
      </c>
      <c r="AD109" s="567" t="str">
        <f t="shared" si="72"/>
        <v>N/A</v>
      </c>
      <c r="AE109" s="328"/>
      <c r="AF109" s="328"/>
      <c r="AG109" s="328"/>
      <c r="AH109" s="328"/>
      <c r="AI109" s="328"/>
      <c r="AJ109" s="328"/>
      <c r="AK109" s="328"/>
      <c r="AL109" s="328"/>
    </row>
    <row r="110" spans="1:38" x14ac:dyDescent="0.25">
      <c r="A110" s="566" t="s">
        <v>1001</v>
      </c>
      <c r="B110" s="154">
        <f>+'NEW Fall CHP by DISC'!B110/15</f>
        <v>0</v>
      </c>
      <c r="C110" s="154">
        <f>+'NEW Fall CHP by DISC'!C110/15</f>
        <v>5.8</v>
      </c>
      <c r="D110" s="154">
        <f>+'NEW Fall CHP by DISC'!D110/12</f>
        <v>0</v>
      </c>
      <c r="E110" s="745">
        <f t="shared" si="62"/>
        <v>5.8</v>
      </c>
      <c r="F110" s="154">
        <f>+'NEW Fall CHP by DISC'!F110/15</f>
        <v>0</v>
      </c>
      <c r="G110" s="154">
        <f>+'NEW Fall CHP by DISC'!G110/15</f>
        <v>3.2</v>
      </c>
      <c r="H110" s="154">
        <f>+'NEW Fall CHP by DISC'!H110/12</f>
        <v>0</v>
      </c>
      <c r="I110" s="154">
        <f t="shared" si="63"/>
        <v>3.2</v>
      </c>
      <c r="J110" s="602">
        <f t="shared" si="64"/>
        <v>-0.44827586206896547</v>
      </c>
      <c r="K110" s="154">
        <f>+'NEW Fall CHP by DISC'!K110/15</f>
        <v>0</v>
      </c>
      <c r="L110" s="154">
        <f>+'NEW Fall CHP by DISC'!L110/15</f>
        <v>7.2</v>
      </c>
      <c r="M110" s="154">
        <f>+'NEW Fall CHP by DISC'!M110/12</f>
        <v>0</v>
      </c>
      <c r="N110" s="154">
        <f t="shared" si="65"/>
        <v>7.2</v>
      </c>
      <c r="O110" s="602">
        <f t="shared" si="66"/>
        <v>1.25</v>
      </c>
      <c r="P110" s="154">
        <f>+'NEW Fall CHP by DISC'!P110/15</f>
        <v>0</v>
      </c>
      <c r="Q110" s="154">
        <f>+'NEW Fall CHP by DISC'!Q110/15</f>
        <v>5.8</v>
      </c>
      <c r="R110" s="154">
        <f>+'NEW Fall CHP by DISC'!R110/12</f>
        <v>0</v>
      </c>
      <c r="S110" s="154">
        <f t="shared" si="67"/>
        <v>5.8</v>
      </c>
      <c r="T110" s="602">
        <f t="shared" si="68"/>
        <v>-0.19444444444444448</v>
      </c>
      <c r="U110" s="154">
        <f>+'NEW Fall CHP by DISC'!U110/15</f>
        <v>0</v>
      </c>
      <c r="V110" s="154">
        <f>+'NEW Fall CHP by DISC'!V110/15</f>
        <v>4</v>
      </c>
      <c r="W110" s="154">
        <f>+'NEW Fall CHP by DISC'!W110/12</f>
        <v>0</v>
      </c>
      <c r="X110" s="154">
        <f t="shared" si="69"/>
        <v>4</v>
      </c>
      <c r="Y110" s="602">
        <f t="shared" si="70"/>
        <v>-0.31034482758620685</v>
      </c>
      <c r="Z110" s="154">
        <f>+'NEW Fall CHP by DISC'!Z110/15</f>
        <v>0</v>
      </c>
      <c r="AA110" s="154">
        <f>+'NEW Fall CHP by DISC'!AA110/15</f>
        <v>8.8000000000000007</v>
      </c>
      <c r="AB110" s="154">
        <f>+'NEW Fall CHP by DISC'!AB110/12</f>
        <v>0</v>
      </c>
      <c r="AC110" s="154">
        <f t="shared" si="71"/>
        <v>8.8000000000000007</v>
      </c>
      <c r="AD110" s="567">
        <f t="shared" si="72"/>
        <v>1.2000000000000002</v>
      </c>
      <c r="AE110" s="328"/>
      <c r="AF110" s="328"/>
      <c r="AG110" s="328"/>
      <c r="AH110" s="328"/>
      <c r="AI110" s="328"/>
      <c r="AJ110" s="328"/>
      <c r="AK110" s="328"/>
      <c r="AL110" s="328"/>
    </row>
    <row r="111" spans="1:38" x14ac:dyDescent="0.25">
      <c r="A111" s="566" t="s">
        <v>1002</v>
      </c>
      <c r="B111" s="154">
        <f>+'NEW Fall CHP by DISC'!B111/15</f>
        <v>0</v>
      </c>
      <c r="C111" s="154">
        <f>+'NEW Fall CHP by DISC'!C111/15</f>
        <v>0</v>
      </c>
      <c r="D111" s="154">
        <f>+'NEW Fall CHP by DISC'!D111/12</f>
        <v>0</v>
      </c>
      <c r="E111" s="745">
        <f t="shared" si="62"/>
        <v>0</v>
      </c>
      <c r="F111" s="154">
        <f>+'NEW Fall CHP by DISC'!F111/15</f>
        <v>0</v>
      </c>
      <c r="G111" s="154">
        <f>+'NEW Fall CHP by DISC'!G111/15</f>
        <v>0</v>
      </c>
      <c r="H111" s="154">
        <f>+'NEW Fall CHP by DISC'!H111/12</f>
        <v>0</v>
      </c>
      <c r="I111" s="154">
        <f t="shared" si="63"/>
        <v>0</v>
      </c>
      <c r="J111" s="602" t="str">
        <f t="shared" si="64"/>
        <v>N/A</v>
      </c>
      <c r="K111" s="154">
        <f>+'NEW Fall CHP by DISC'!K111/15</f>
        <v>0</v>
      </c>
      <c r="L111" s="154">
        <f>+'NEW Fall CHP by DISC'!L111/15</f>
        <v>0</v>
      </c>
      <c r="M111" s="154">
        <f>+'NEW Fall CHP by DISC'!M111/12</f>
        <v>0</v>
      </c>
      <c r="N111" s="154">
        <f t="shared" si="65"/>
        <v>0</v>
      </c>
      <c r="O111" s="602" t="str">
        <f t="shared" si="66"/>
        <v>N/A</v>
      </c>
      <c r="P111" s="154">
        <f>+'NEW Fall CHP by DISC'!P111/15</f>
        <v>0</v>
      </c>
      <c r="Q111" s="154">
        <f>+'NEW Fall CHP by DISC'!Q111/15</f>
        <v>0</v>
      </c>
      <c r="R111" s="154">
        <f>+'NEW Fall CHP by DISC'!R111/12</f>
        <v>0</v>
      </c>
      <c r="S111" s="154">
        <f t="shared" si="67"/>
        <v>0</v>
      </c>
      <c r="T111" s="602" t="str">
        <f t="shared" si="68"/>
        <v>N/A</v>
      </c>
      <c r="U111" s="154">
        <f>+'NEW Fall CHP by DISC'!U111/15</f>
        <v>0.8666666666666667</v>
      </c>
      <c r="V111" s="154">
        <f>+'NEW Fall CHP by DISC'!V111/15</f>
        <v>0</v>
      </c>
      <c r="W111" s="154">
        <f>+'NEW Fall CHP by DISC'!W111/12</f>
        <v>0</v>
      </c>
      <c r="X111" s="154">
        <f t="shared" si="69"/>
        <v>0.8666666666666667</v>
      </c>
      <c r="Y111" s="602">
        <f t="shared" si="70"/>
        <v>1</v>
      </c>
      <c r="Z111" s="154">
        <f>+'NEW Fall CHP by DISC'!Z111/15</f>
        <v>0</v>
      </c>
      <c r="AA111" s="154">
        <f>+'NEW Fall CHP by DISC'!AA111/15</f>
        <v>0</v>
      </c>
      <c r="AB111" s="154">
        <f>+'NEW Fall CHP by DISC'!AB111/12</f>
        <v>0</v>
      </c>
      <c r="AC111" s="154">
        <f t="shared" si="71"/>
        <v>0</v>
      </c>
      <c r="AD111" s="567">
        <f t="shared" si="72"/>
        <v>-1</v>
      </c>
      <c r="AE111" s="328"/>
      <c r="AF111" s="328"/>
      <c r="AG111" s="328"/>
      <c r="AH111" s="328"/>
      <c r="AI111" s="328"/>
      <c r="AJ111" s="328"/>
      <c r="AK111" s="328"/>
      <c r="AL111" s="328"/>
    </row>
    <row r="112" spans="1:38" x14ac:dyDescent="0.25">
      <c r="A112" s="566" t="s">
        <v>1143</v>
      </c>
      <c r="B112" s="154">
        <f>+'NEW Fall CHP by DISC'!B112/15</f>
        <v>0</v>
      </c>
      <c r="C112" s="154">
        <f>+'NEW Fall CHP by DISC'!C112/15</f>
        <v>0</v>
      </c>
      <c r="D112" s="154">
        <f>+'NEW Fall CHP by DISC'!D112/12</f>
        <v>0</v>
      </c>
      <c r="E112" s="745">
        <f t="shared" si="62"/>
        <v>0</v>
      </c>
      <c r="F112" s="154">
        <f>+'NEW Fall CHP by DISC'!F112/15</f>
        <v>0</v>
      </c>
      <c r="G112" s="154">
        <f>+'NEW Fall CHP by DISC'!G112/15</f>
        <v>0</v>
      </c>
      <c r="H112" s="154">
        <f>+'NEW Fall CHP by DISC'!H112/12</f>
        <v>0</v>
      </c>
      <c r="I112" s="154">
        <f t="shared" si="63"/>
        <v>0</v>
      </c>
      <c r="J112" s="602" t="str">
        <f t="shared" si="64"/>
        <v>N/A</v>
      </c>
      <c r="K112" s="154">
        <f>+'NEW Fall CHP by DISC'!K112/15</f>
        <v>0</v>
      </c>
      <c r="L112" s="154">
        <f>+'NEW Fall CHP by DISC'!L112/15</f>
        <v>0</v>
      </c>
      <c r="M112" s="154">
        <f>+'NEW Fall CHP by DISC'!M112/12</f>
        <v>0</v>
      </c>
      <c r="N112" s="154">
        <f t="shared" si="65"/>
        <v>0</v>
      </c>
      <c r="O112" s="602" t="str">
        <f t="shared" si="66"/>
        <v>N/A</v>
      </c>
      <c r="P112" s="154">
        <f>+'NEW Fall CHP by DISC'!P112/15</f>
        <v>0</v>
      </c>
      <c r="Q112" s="154">
        <f>+'NEW Fall CHP by DISC'!Q112/15</f>
        <v>0</v>
      </c>
      <c r="R112" s="154">
        <f>+'NEW Fall CHP by DISC'!R112/12</f>
        <v>0</v>
      </c>
      <c r="S112" s="154">
        <f t="shared" si="67"/>
        <v>0</v>
      </c>
      <c r="T112" s="602" t="str">
        <f t="shared" si="68"/>
        <v>N/A</v>
      </c>
      <c r="U112" s="154">
        <f>+'NEW Fall CHP by DISC'!U112/15</f>
        <v>0</v>
      </c>
      <c r="V112" s="154">
        <f>+'NEW Fall CHP by DISC'!V112/15</f>
        <v>0</v>
      </c>
      <c r="W112" s="154">
        <f>+'NEW Fall CHP by DISC'!W112/12</f>
        <v>0</v>
      </c>
      <c r="X112" s="154">
        <f t="shared" si="69"/>
        <v>0</v>
      </c>
      <c r="Y112" s="602" t="str">
        <f t="shared" si="70"/>
        <v>N/A</v>
      </c>
      <c r="Z112" s="154">
        <f>+'NEW Fall CHP by DISC'!Z112/15</f>
        <v>3.8666666666666667</v>
      </c>
      <c r="AA112" s="154">
        <f>+'NEW Fall CHP by DISC'!AA112/15</f>
        <v>0</v>
      </c>
      <c r="AB112" s="154">
        <f>+'NEW Fall CHP by DISC'!AB112/12</f>
        <v>0</v>
      </c>
      <c r="AC112" s="154">
        <f t="shared" si="71"/>
        <v>3.8666666666666667</v>
      </c>
      <c r="AD112" s="567">
        <f t="shared" si="72"/>
        <v>1</v>
      </c>
      <c r="AE112" s="328"/>
      <c r="AF112" s="328"/>
      <c r="AG112" s="328"/>
      <c r="AH112" s="328"/>
      <c r="AI112" s="328"/>
      <c r="AJ112" s="328"/>
      <c r="AK112" s="328"/>
      <c r="AL112" s="328"/>
    </row>
    <row r="113" spans="1:39" x14ac:dyDescent="0.25">
      <c r="A113" s="579" t="s">
        <v>1003</v>
      </c>
      <c r="B113" s="154">
        <f>+'NEW Fall CHP by DISC'!B113/15</f>
        <v>4.1333333333333337</v>
      </c>
      <c r="C113" s="154">
        <f>+'NEW Fall CHP by DISC'!C113/15</f>
        <v>3.4</v>
      </c>
      <c r="D113" s="154">
        <f>+'NEW Fall CHP by DISC'!D113/12</f>
        <v>0</v>
      </c>
      <c r="E113" s="749">
        <f t="shared" si="62"/>
        <v>7.5333333333333332</v>
      </c>
      <c r="F113" s="154">
        <f>+'NEW Fall CHP by DISC'!F113/15</f>
        <v>2.8</v>
      </c>
      <c r="G113" s="154">
        <f>+'NEW Fall CHP by DISC'!G113/15</f>
        <v>3.2</v>
      </c>
      <c r="H113" s="154">
        <f>+'NEW Fall CHP by DISC'!H113/12</f>
        <v>0</v>
      </c>
      <c r="I113" s="580">
        <f t="shared" si="63"/>
        <v>6</v>
      </c>
      <c r="J113" s="582">
        <f t="shared" si="64"/>
        <v>-0.20353982300884954</v>
      </c>
      <c r="K113" s="154">
        <f>+'NEW Fall CHP by DISC'!K113/15</f>
        <v>3.8</v>
      </c>
      <c r="L113" s="154">
        <f>+'NEW Fall CHP by DISC'!L113/15</f>
        <v>2.7333333333333334</v>
      </c>
      <c r="M113" s="154">
        <f>+'NEW Fall CHP by DISC'!M113/12</f>
        <v>0</v>
      </c>
      <c r="N113" s="580">
        <f t="shared" si="65"/>
        <v>6.5333333333333332</v>
      </c>
      <c r="O113" s="582">
        <f t="shared" si="66"/>
        <v>8.8888888888888865E-2</v>
      </c>
      <c r="P113" s="154">
        <f>+'NEW Fall CHP by DISC'!P113/15</f>
        <v>3.6666666666666665</v>
      </c>
      <c r="Q113" s="154">
        <f>+'NEW Fall CHP by DISC'!Q113/15</f>
        <v>3.0666666666666669</v>
      </c>
      <c r="R113" s="154">
        <f>+'NEW Fall CHP by DISC'!R113/12</f>
        <v>0</v>
      </c>
      <c r="S113" s="580">
        <f t="shared" si="67"/>
        <v>6.7333333333333334</v>
      </c>
      <c r="T113" s="582">
        <f t="shared" si="68"/>
        <v>3.0612244897959211E-2</v>
      </c>
      <c r="U113" s="154">
        <f>+'NEW Fall CHP by DISC'!U113/15</f>
        <v>3</v>
      </c>
      <c r="V113" s="154">
        <f>+'NEW Fall CHP by DISC'!V113/15</f>
        <v>2.5333333333333332</v>
      </c>
      <c r="W113" s="154">
        <f>+'NEW Fall CHP by DISC'!W113/12</f>
        <v>0</v>
      </c>
      <c r="X113" s="580">
        <f t="shared" si="69"/>
        <v>5.5333333333333332</v>
      </c>
      <c r="Y113" s="582">
        <f t="shared" si="70"/>
        <v>-0.17821782178217824</v>
      </c>
      <c r="Z113" s="154">
        <f>+'NEW Fall CHP by DISC'!Z113/15</f>
        <v>3.2666666666666666</v>
      </c>
      <c r="AA113" s="154">
        <f>+'NEW Fall CHP by DISC'!AA113/15</f>
        <v>2.4666666666666668</v>
      </c>
      <c r="AB113" s="154">
        <f>+'NEW Fall CHP by DISC'!AB113/12</f>
        <v>0</v>
      </c>
      <c r="AC113" s="580">
        <f t="shared" si="71"/>
        <v>5.7333333333333334</v>
      </c>
      <c r="AD113" s="627">
        <f t="shared" si="72"/>
        <v>3.6144578313253045E-2</v>
      </c>
      <c r="AE113" s="328"/>
      <c r="AF113" s="328"/>
      <c r="AG113" s="328"/>
      <c r="AH113" s="328"/>
      <c r="AI113" s="328"/>
      <c r="AJ113" s="328"/>
      <c r="AK113" s="328"/>
      <c r="AL113" s="328"/>
    </row>
    <row r="114" spans="1:39" s="575" customFormat="1" ht="14.4" thickBot="1" x14ac:dyDescent="0.3">
      <c r="A114" s="628" t="s">
        <v>961</v>
      </c>
      <c r="B114" s="629">
        <f t="shared" ref="B114:I114" si="84">SUM(B106:B113)</f>
        <v>10.199999999999999</v>
      </c>
      <c r="C114" s="629">
        <f t="shared" si="84"/>
        <v>9.1999999999999993</v>
      </c>
      <c r="D114" s="629">
        <f t="shared" si="84"/>
        <v>0</v>
      </c>
      <c r="E114" s="854">
        <f t="shared" si="84"/>
        <v>19.399999999999999</v>
      </c>
      <c r="F114" s="629">
        <f t="shared" si="84"/>
        <v>10.6</v>
      </c>
      <c r="G114" s="629">
        <f t="shared" si="84"/>
        <v>6.4</v>
      </c>
      <c r="H114" s="629">
        <f t="shared" si="84"/>
        <v>0</v>
      </c>
      <c r="I114" s="629">
        <f t="shared" si="84"/>
        <v>17</v>
      </c>
      <c r="J114" s="732">
        <f t="shared" si="64"/>
        <v>-0.1237113402061855</v>
      </c>
      <c r="K114" s="629">
        <f>SUM(K106:K113)</f>
        <v>15.666666666666668</v>
      </c>
      <c r="L114" s="629">
        <f>SUM(L106:L113)</f>
        <v>9.9333333333333336</v>
      </c>
      <c r="M114" s="629">
        <f>SUM(M106:M113)</f>
        <v>0</v>
      </c>
      <c r="N114" s="629">
        <f>SUM(N106:N113)</f>
        <v>25.6</v>
      </c>
      <c r="O114" s="732">
        <f t="shared" si="66"/>
        <v>0.50588235294117656</v>
      </c>
      <c r="P114" s="629">
        <f>SUM(P106:P113)</f>
        <v>16.600000000000001</v>
      </c>
      <c r="Q114" s="629">
        <f>SUM(Q106:Q113)</f>
        <v>8.8666666666666671</v>
      </c>
      <c r="R114" s="629">
        <f>SUM(R106:R113)</f>
        <v>0</v>
      </c>
      <c r="S114" s="629">
        <f>SUM(S106:S113)</f>
        <v>25.466666666666669</v>
      </c>
      <c r="T114" s="732">
        <f t="shared" si="68"/>
        <v>-5.2083333333333148E-3</v>
      </c>
      <c r="U114" s="629">
        <f>SUM(U106:U113)</f>
        <v>23.866666666666667</v>
      </c>
      <c r="V114" s="629">
        <f>SUM(V106:V113)</f>
        <v>6.5333333333333332</v>
      </c>
      <c r="W114" s="629">
        <f>SUM(W106:W113)</f>
        <v>0</v>
      </c>
      <c r="X114" s="629">
        <f>SUM(X106:X113)</f>
        <v>30.4</v>
      </c>
      <c r="Y114" s="732">
        <f t="shared" si="70"/>
        <v>0.19371727748691084</v>
      </c>
      <c r="Z114" s="629">
        <f>SUM(Z106:Z113)</f>
        <v>23.266666666666666</v>
      </c>
      <c r="AA114" s="629">
        <f>SUM(AA106:AA113)</f>
        <v>11.266666666666667</v>
      </c>
      <c r="AB114" s="629">
        <f>SUM(AB106:AB113)</f>
        <v>0</v>
      </c>
      <c r="AC114" s="629">
        <f>SUM(AC106:AC113)</f>
        <v>34.533333333333331</v>
      </c>
      <c r="AD114" s="632">
        <f t="shared" si="72"/>
        <v>0.13596491228070173</v>
      </c>
    </row>
    <row r="115" spans="1:39" s="575" customFormat="1" ht="14.25" customHeight="1" thickTop="1" x14ac:dyDescent="0.25">
      <c r="A115" s="633"/>
      <c r="B115" s="634"/>
      <c r="C115" s="634"/>
      <c r="D115" s="634"/>
      <c r="E115" s="634"/>
      <c r="F115" s="634"/>
      <c r="G115" s="634"/>
      <c r="H115" s="634"/>
      <c r="I115" s="634"/>
      <c r="J115" s="635"/>
      <c r="K115" s="634"/>
      <c r="L115" s="634"/>
      <c r="M115" s="634"/>
      <c r="N115" s="634"/>
      <c r="O115" s="635"/>
      <c r="P115" s="634"/>
      <c r="Q115" s="634"/>
      <c r="R115" s="634"/>
      <c r="S115" s="634"/>
      <c r="T115" s="635"/>
      <c r="U115" s="634"/>
      <c r="V115" s="634"/>
      <c r="W115" s="634"/>
      <c r="X115" s="634"/>
      <c r="Y115" s="635"/>
      <c r="Z115" s="634"/>
      <c r="AA115" s="634"/>
      <c r="AB115" s="634"/>
      <c r="AC115" s="634"/>
      <c r="AD115" s="635"/>
    </row>
    <row r="116" spans="1:39" ht="14.25" customHeight="1" thickBot="1" x14ac:dyDescent="0.3">
      <c r="A116" s="604"/>
      <c r="B116" s="335"/>
      <c r="C116" s="335"/>
      <c r="D116" s="335"/>
      <c r="E116" s="335"/>
      <c r="F116" s="335"/>
      <c r="G116" s="335"/>
      <c r="H116" s="335"/>
      <c r="I116" s="335"/>
      <c r="J116" s="598"/>
      <c r="K116" s="335"/>
      <c r="L116" s="335"/>
      <c r="M116" s="335"/>
      <c r="N116" s="335"/>
      <c r="O116" s="598"/>
      <c r="P116" s="335"/>
      <c r="Q116" s="335"/>
      <c r="R116" s="335"/>
      <c r="S116" s="335"/>
      <c r="T116" s="598"/>
      <c r="U116" s="335"/>
      <c r="V116" s="335"/>
      <c r="W116" s="335"/>
      <c r="X116" s="335"/>
      <c r="Y116" s="598"/>
      <c r="Z116" s="335"/>
      <c r="AA116" s="335"/>
      <c r="AB116" s="335"/>
      <c r="AC116" s="335"/>
      <c r="AD116" s="598"/>
      <c r="AE116" s="328"/>
      <c r="AF116" s="328"/>
      <c r="AG116" s="328"/>
      <c r="AH116" s="328"/>
      <c r="AI116" s="328"/>
      <c r="AJ116" s="328"/>
      <c r="AK116" s="328"/>
      <c r="AL116" s="328"/>
    </row>
    <row r="117" spans="1:39" s="639" customFormat="1" ht="18" thickTop="1" thickBot="1" x14ac:dyDescent="0.35">
      <c r="A117" s="636" t="s">
        <v>949</v>
      </c>
      <c r="B117" s="637">
        <f t="shared" ref="B117:I117" si="85">+B114+B102+B80+B42+B22</f>
        <v>1514.1000000000001</v>
      </c>
      <c r="C117" s="637">
        <f t="shared" si="85"/>
        <v>640.23333333333335</v>
      </c>
      <c r="D117" s="637">
        <f t="shared" si="85"/>
        <v>21.75</v>
      </c>
      <c r="E117" s="850">
        <f t="shared" si="85"/>
        <v>2176.0833333333335</v>
      </c>
      <c r="F117" s="637">
        <f t="shared" si="85"/>
        <v>1658.0666666666666</v>
      </c>
      <c r="G117" s="637">
        <f t="shared" si="85"/>
        <v>685.33333333333337</v>
      </c>
      <c r="H117" s="637">
        <f t="shared" si="85"/>
        <v>34</v>
      </c>
      <c r="I117" s="637">
        <f t="shared" si="85"/>
        <v>2377.3999999999996</v>
      </c>
      <c r="J117" s="638">
        <f>IF(E117&gt;0,(I117-E117)/E117,(IF(I117=0,"N/A",100%)))</f>
        <v>9.2513307547964371E-2</v>
      </c>
      <c r="K117" s="637">
        <f>+K114+K102+K80+K42+K22</f>
        <v>1922.6333333333334</v>
      </c>
      <c r="L117" s="637">
        <f>+L114+L102+L80+L42+L22</f>
        <v>705.76666666666665</v>
      </c>
      <c r="M117" s="637">
        <f>+M114+M102+M80+M42+M22</f>
        <v>17.5</v>
      </c>
      <c r="N117" s="637">
        <f>+N114+N102+N80+N42+N22</f>
        <v>2645.9</v>
      </c>
      <c r="O117" s="1226">
        <f>IF(I117&gt;0,(N117-I117)/I117,(IF(N117=0,"N/A",100%)))</f>
        <v>0.11293850424833873</v>
      </c>
      <c r="P117" s="637">
        <f>+P114+P102+P80+P42+P22</f>
        <v>2126.1333333333337</v>
      </c>
      <c r="Q117" s="637">
        <f>+Q114+Q102+Q80+Q42+Q22</f>
        <v>687.13333333333333</v>
      </c>
      <c r="R117" s="637">
        <f>+R114+R102+R80+R42+R22</f>
        <v>33.5</v>
      </c>
      <c r="S117" s="637">
        <f>+S114+S102+S80+S42+S22</f>
        <v>2846.7666666666669</v>
      </c>
      <c r="T117" s="1226">
        <f>IF(N117&gt;0,(S117-N117)/N117,(IF(S117=0,"N/A",100%)))</f>
        <v>7.5916197387152495E-2</v>
      </c>
      <c r="U117" s="637">
        <f>+U114+U102+U80+U42+U22</f>
        <v>2110.2666666666664</v>
      </c>
      <c r="V117" s="637">
        <f>+V114+V102+V80+V42+V22</f>
        <v>718.66666666666674</v>
      </c>
      <c r="W117" s="637">
        <f>+W114+W102+W80+W42+W22</f>
        <v>13</v>
      </c>
      <c r="X117" s="637">
        <f>+X114+X102+X80+X42+X22</f>
        <v>2841.9333333333334</v>
      </c>
      <c r="Y117" s="1226">
        <f>IF(S117&gt;0,(X117-S117)/S117,(IF(X117=0,"N/A",100%)))</f>
        <v>-1.697832628830422E-3</v>
      </c>
      <c r="Z117" s="637">
        <f>+Z114+Z102+Z80+Z42+Z22</f>
        <v>2025.3333333333333</v>
      </c>
      <c r="AA117" s="637">
        <f>+AA114+AA102+AA80+AA42+AA22</f>
        <v>761.86666666666667</v>
      </c>
      <c r="AB117" s="637">
        <f>+AB114+AB102+AB80+AB42+AB22</f>
        <v>30.5</v>
      </c>
      <c r="AC117" s="637">
        <f>+AC114+AC102+AC80+AC42+AC22</f>
        <v>2817.7000000000003</v>
      </c>
      <c r="AD117" s="638">
        <f>IF(X117&gt;0,(AC117-X117)/X117,(IF(AC117=0,"N/A",100%)))</f>
        <v>-8.5270590443124825E-3</v>
      </c>
    </row>
    <row r="118" spans="1:39" ht="13.8" thickTop="1" x14ac:dyDescent="0.25">
      <c r="A118" s="1725" t="s">
        <v>1012</v>
      </c>
      <c r="B118" s="1725"/>
      <c r="C118" s="1725"/>
      <c r="D118" s="1725"/>
      <c r="E118" s="1725"/>
      <c r="F118" s="1725"/>
      <c r="G118" s="1725"/>
      <c r="H118" s="1725"/>
      <c r="I118" s="1725"/>
      <c r="J118" s="1725"/>
      <c r="K118" s="778"/>
      <c r="L118" s="778"/>
      <c r="M118" s="328"/>
      <c r="N118" s="328"/>
      <c r="O118" s="328"/>
      <c r="P118" s="778"/>
      <c r="Q118" s="778"/>
      <c r="R118" s="328"/>
      <c r="S118" s="328"/>
      <c r="T118" s="328"/>
      <c r="U118" s="778"/>
      <c r="V118" s="778"/>
      <c r="W118" s="328"/>
      <c r="X118" s="328"/>
      <c r="Y118" s="328"/>
      <c r="Z118" s="328"/>
      <c r="AA118" s="328"/>
      <c r="AB118" s="328"/>
      <c r="AC118" s="328"/>
      <c r="AD118" s="328"/>
      <c r="AE118" s="328"/>
      <c r="AF118" s="328"/>
      <c r="AG118" s="328"/>
      <c r="AH118" s="328"/>
      <c r="AI118" s="328"/>
      <c r="AJ118" s="328"/>
      <c r="AK118" s="328"/>
      <c r="AL118" s="328"/>
      <c r="AM118" s="328"/>
    </row>
    <row r="119" spans="1:39" x14ac:dyDescent="0.25">
      <c r="A119" s="1722"/>
      <c r="B119" s="1722"/>
      <c r="C119" s="1722"/>
      <c r="D119" s="1722"/>
      <c r="E119" s="1722"/>
      <c r="F119" s="1722"/>
      <c r="G119" s="1722"/>
      <c r="H119" s="1722"/>
      <c r="I119" s="1722"/>
      <c r="J119" s="1722"/>
      <c r="K119" s="778"/>
      <c r="L119" s="328"/>
      <c r="M119" s="328"/>
      <c r="N119" s="328"/>
      <c r="O119" s="328"/>
      <c r="P119" s="778"/>
      <c r="Q119" s="328"/>
      <c r="R119" s="328"/>
      <c r="S119" s="328"/>
      <c r="T119" s="328"/>
      <c r="U119" s="778"/>
      <c r="V119" s="328"/>
      <c r="W119" s="328"/>
      <c r="X119" s="328"/>
      <c r="Y119" s="328"/>
      <c r="Z119" s="328"/>
      <c r="AA119" s="328"/>
      <c r="AB119" s="328"/>
      <c r="AC119" s="328"/>
      <c r="AD119" s="328"/>
      <c r="AE119" s="328"/>
      <c r="AF119" s="328"/>
      <c r="AG119" s="328"/>
      <c r="AH119" s="328"/>
      <c r="AI119" s="328"/>
      <c r="AJ119" s="328"/>
      <c r="AK119" s="328"/>
      <c r="AL119" s="328"/>
      <c r="AM119" s="328"/>
    </row>
    <row r="120" spans="1:39" x14ac:dyDescent="0.25">
      <c r="A120" s="146"/>
      <c r="B120" s="335"/>
      <c r="C120" s="146"/>
      <c r="D120" s="146"/>
      <c r="E120" s="146"/>
      <c r="F120" s="335"/>
      <c r="G120" s="335"/>
      <c r="H120" s="146"/>
      <c r="I120" s="335"/>
      <c r="J120" s="146"/>
      <c r="K120" s="778"/>
      <c r="L120" s="328"/>
      <c r="M120" s="328"/>
      <c r="N120" s="328"/>
      <c r="O120" s="328"/>
      <c r="P120" s="778"/>
      <c r="Q120" s="328"/>
      <c r="R120" s="328"/>
      <c r="S120" s="328"/>
      <c r="T120" s="328"/>
      <c r="U120" s="778"/>
      <c r="V120" s="328"/>
      <c r="W120" s="328"/>
      <c r="X120" s="328"/>
      <c r="Y120" s="328"/>
      <c r="Z120" s="778"/>
      <c r="AA120" s="328"/>
      <c r="AB120" s="328"/>
      <c r="AC120" s="328"/>
      <c r="AD120" s="328"/>
      <c r="AE120" s="328"/>
      <c r="AF120" s="328"/>
      <c r="AG120" s="328"/>
      <c r="AH120" s="146"/>
      <c r="AI120" s="146"/>
      <c r="AJ120" s="146"/>
      <c r="AK120" s="146"/>
      <c r="AL120" s="146"/>
      <c r="AM120" s="146"/>
    </row>
    <row r="121" spans="1:39" x14ac:dyDescent="0.25">
      <c r="A121" s="146"/>
      <c r="B121" s="335"/>
      <c r="C121" s="146"/>
      <c r="D121" s="146"/>
      <c r="E121" s="335"/>
      <c r="F121" s="335"/>
      <c r="G121" s="335"/>
      <c r="H121" s="146"/>
      <c r="I121" s="335"/>
      <c r="J121" s="146"/>
      <c r="K121" s="328"/>
      <c r="L121" s="328"/>
      <c r="M121" s="328"/>
      <c r="N121" s="328"/>
      <c r="O121" s="328"/>
      <c r="P121" s="328"/>
      <c r="Q121" s="328"/>
      <c r="R121" s="328"/>
      <c r="S121" s="328"/>
      <c r="T121" s="328"/>
      <c r="U121" s="328"/>
      <c r="V121" s="328"/>
      <c r="W121" s="328"/>
      <c r="X121" s="328"/>
      <c r="Y121" s="328"/>
      <c r="Z121" s="328"/>
      <c r="AA121" s="328"/>
      <c r="AB121" s="328"/>
      <c r="AC121" s="328"/>
      <c r="AD121" s="328"/>
      <c r="AE121" s="328"/>
      <c r="AF121" s="328"/>
      <c r="AG121" s="328"/>
      <c r="AH121" s="146"/>
      <c r="AI121" s="146"/>
      <c r="AJ121" s="146"/>
      <c r="AK121" s="146"/>
      <c r="AL121" s="146"/>
      <c r="AM121" s="146"/>
    </row>
    <row r="122" spans="1:39" x14ac:dyDescent="0.25">
      <c r="A122" s="146"/>
      <c r="B122" s="146"/>
      <c r="C122" s="146"/>
      <c r="D122" s="146"/>
      <c r="E122" s="146"/>
      <c r="F122" s="146"/>
      <c r="G122" s="146"/>
      <c r="H122" s="146"/>
      <c r="I122" s="146"/>
      <c r="J122" s="146"/>
      <c r="K122" s="328"/>
      <c r="L122" s="328"/>
      <c r="M122" s="328"/>
      <c r="N122" s="328"/>
      <c r="O122" s="328"/>
      <c r="P122" s="328"/>
      <c r="Q122" s="328"/>
      <c r="R122" s="328"/>
      <c r="S122" s="328"/>
      <c r="T122" s="328"/>
      <c r="U122" s="328"/>
      <c r="V122" s="328"/>
      <c r="W122" s="328"/>
      <c r="X122" s="328"/>
      <c r="Y122" s="328"/>
      <c r="Z122" s="328"/>
      <c r="AA122" s="328"/>
      <c r="AB122" s="328"/>
      <c r="AC122" s="328"/>
      <c r="AD122" s="328"/>
      <c r="AE122" s="328"/>
      <c r="AF122" s="328"/>
      <c r="AG122" s="328"/>
      <c r="AH122" s="146"/>
      <c r="AI122" s="146"/>
      <c r="AJ122" s="146"/>
      <c r="AK122" s="146"/>
      <c r="AL122" s="146"/>
      <c r="AM122" s="146"/>
    </row>
    <row r="123" spans="1:39" x14ac:dyDescent="0.25">
      <c r="A123" s="146"/>
      <c r="B123" s="146"/>
      <c r="C123" s="146"/>
      <c r="D123" s="146"/>
      <c r="E123" s="146"/>
      <c r="F123" s="146"/>
      <c r="G123" s="146"/>
      <c r="H123" s="146"/>
      <c r="I123" s="146"/>
      <c r="J123" s="146"/>
      <c r="K123" s="328"/>
      <c r="L123" s="328"/>
      <c r="M123" s="328"/>
      <c r="N123" s="328"/>
      <c r="O123" s="328"/>
      <c r="P123" s="328"/>
      <c r="Q123" s="328"/>
      <c r="R123" s="328"/>
      <c r="S123" s="328"/>
      <c r="T123" s="328"/>
      <c r="U123" s="328"/>
      <c r="V123" s="328"/>
      <c r="W123" s="328"/>
      <c r="X123" s="328"/>
      <c r="Y123" s="328"/>
      <c r="Z123" s="328"/>
      <c r="AA123" s="328"/>
      <c r="AB123" s="328"/>
      <c r="AC123" s="328"/>
      <c r="AD123" s="328"/>
      <c r="AE123" s="328"/>
      <c r="AF123" s="328"/>
      <c r="AG123" s="328"/>
      <c r="AH123" s="146"/>
      <c r="AI123" s="146"/>
      <c r="AJ123" s="146"/>
      <c r="AK123" s="146"/>
      <c r="AL123" s="146"/>
      <c r="AM123" s="146"/>
    </row>
    <row r="124" spans="1:39" x14ac:dyDescent="0.25">
      <c r="A124" s="146"/>
      <c r="B124" s="146"/>
      <c r="C124" s="146"/>
      <c r="D124" s="146"/>
      <c r="E124" s="146"/>
      <c r="F124" s="146"/>
      <c r="G124" s="146"/>
      <c r="H124" s="146"/>
      <c r="I124" s="146"/>
      <c r="J124" s="146"/>
      <c r="K124" s="328"/>
      <c r="L124" s="328"/>
      <c r="M124" s="328"/>
      <c r="N124" s="328"/>
      <c r="O124" s="328"/>
      <c r="P124" s="328"/>
      <c r="Q124" s="328"/>
      <c r="R124" s="328"/>
      <c r="S124" s="328"/>
      <c r="T124" s="328"/>
      <c r="U124" s="328"/>
      <c r="V124" s="328"/>
      <c r="W124" s="328"/>
      <c r="X124" s="328"/>
      <c r="Y124" s="328"/>
      <c r="Z124" s="328"/>
      <c r="AA124" s="328"/>
      <c r="AB124" s="328"/>
      <c r="AC124" s="328"/>
      <c r="AD124" s="328"/>
      <c r="AE124" s="328"/>
      <c r="AF124" s="328"/>
      <c r="AG124" s="328"/>
      <c r="AH124" s="146"/>
      <c r="AI124" s="146"/>
      <c r="AJ124" s="146"/>
      <c r="AK124" s="146"/>
      <c r="AL124" s="146"/>
      <c r="AM124" s="146"/>
    </row>
    <row r="125" spans="1:39" x14ac:dyDescent="0.25">
      <c r="A125" s="146"/>
      <c r="B125" s="146"/>
      <c r="C125" s="146"/>
      <c r="D125" s="146"/>
      <c r="E125" s="146"/>
      <c r="F125" s="146"/>
      <c r="G125" s="146"/>
      <c r="H125" s="146"/>
      <c r="I125" s="146"/>
      <c r="J125" s="146"/>
      <c r="K125" s="328"/>
      <c r="L125" s="328"/>
      <c r="M125" s="328"/>
      <c r="N125" s="328"/>
      <c r="O125" s="328"/>
      <c r="P125" s="328"/>
      <c r="Q125" s="328"/>
      <c r="R125" s="328"/>
      <c r="S125" s="328"/>
      <c r="T125" s="328"/>
      <c r="U125" s="328"/>
      <c r="V125" s="328"/>
      <c r="W125" s="328"/>
      <c r="X125" s="328"/>
      <c r="Y125" s="328"/>
      <c r="Z125" s="328"/>
      <c r="AA125" s="328"/>
      <c r="AB125" s="328"/>
      <c r="AC125" s="328"/>
      <c r="AD125" s="328"/>
      <c r="AE125" s="328"/>
      <c r="AF125" s="328"/>
      <c r="AG125" s="328"/>
      <c r="AH125" s="146"/>
      <c r="AI125" s="146"/>
      <c r="AJ125" s="146"/>
      <c r="AK125" s="146"/>
      <c r="AL125" s="146"/>
      <c r="AM125" s="146"/>
    </row>
    <row r="126" spans="1:39" x14ac:dyDescent="0.25">
      <c r="A126" s="146"/>
      <c r="B126" s="146"/>
      <c r="C126" s="146"/>
      <c r="D126" s="146"/>
      <c r="E126" s="146"/>
      <c r="F126" s="146"/>
      <c r="G126" s="146"/>
      <c r="H126" s="146"/>
      <c r="I126" s="335"/>
      <c r="J126" s="146"/>
      <c r="K126" s="146"/>
      <c r="L126" s="146"/>
      <c r="M126" s="146"/>
      <c r="N126" s="328"/>
      <c r="O126" s="328"/>
      <c r="P126" s="146"/>
      <c r="Q126" s="146"/>
      <c r="R126" s="146"/>
      <c r="S126" s="328"/>
      <c r="T126" s="328"/>
      <c r="U126" s="146"/>
      <c r="V126" s="146"/>
      <c r="W126" s="146"/>
      <c r="X126" s="328"/>
      <c r="Y126" s="328"/>
      <c r="Z126" s="328"/>
      <c r="AA126" s="328"/>
      <c r="AB126" s="146"/>
      <c r="AC126" s="146"/>
      <c r="AD126" s="146"/>
      <c r="AE126" s="328"/>
      <c r="AF126" s="328"/>
      <c r="AG126" s="328"/>
      <c r="AH126" s="146"/>
      <c r="AI126" s="146"/>
      <c r="AJ126" s="146"/>
      <c r="AK126" s="146"/>
      <c r="AL126" s="146"/>
      <c r="AM126" s="146"/>
    </row>
    <row r="127" spans="1:39" x14ac:dyDescent="0.25">
      <c r="A127" s="146"/>
      <c r="B127" s="146"/>
      <c r="C127" s="146"/>
      <c r="D127" s="146"/>
      <c r="E127" s="146"/>
      <c r="F127" s="146"/>
      <c r="G127" s="146"/>
      <c r="H127" s="146"/>
      <c r="I127" s="335"/>
      <c r="J127" s="146"/>
      <c r="K127" s="146"/>
      <c r="L127" s="146"/>
      <c r="M127" s="146"/>
      <c r="N127" s="328"/>
      <c r="O127" s="328"/>
      <c r="P127" s="146"/>
      <c r="Q127" s="146"/>
      <c r="R127" s="146"/>
      <c r="S127" s="328"/>
      <c r="T127" s="328"/>
      <c r="U127" s="146"/>
      <c r="V127" s="146"/>
      <c r="W127" s="146"/>
      <c r="X127" s="328"/>
      <c r="Y127" s="328"/>
      <c r="Z127" s="328"/>
      <c r="AA127" s="328"/>
      <c r="AB127" s="146"/>
      <c r="AC127" s="146"/>
      <c r="AD127" s="146"/>
      <c r="AE127" s="328"/>
      <c r="AF127" s="328"/>
      <c r="AG127" s="328"/>
      <c r="AH127" s="146"/>
      <c r="AI127" s="146"/>
      <c r="AJ127" s="146"/>
      <c r="AK127" s="146"/>
      <c r="AL127" s="146"/>
      <c r="AM127" s="146"/>
    </row>
    <row r="128" spans="1:39" x14ac:dyDescent="0.25">
      <c r="A128" s="146"/>
      <c r="B128" s="146"/>
      <c r="C128" s="146"/>
      <c r="D128" s="146"/>
      <c r="E128" s="146"/>
      <c r="F128" s="146"/>
      <c r="G128" s="146"/>
      <c r="H128" s="146"/>
      <c r="I128" s="146"/>
      <c r="J128" s="146"/>
      <c r="K128" s="146"/>
      <c r="L128" s="146"/>
      <c r="M128" s="146"/>
      <c r="N128" s="328"/>
      <c r="O128" s="328"/>
      <c r="P128" s="146"/>
      <c r="Q128" s="146"/>
      <c r="R128" s="146"/>
      <c r="S128" s="328"/>
      <c r="T128" s="328"/>
      <c r="U128" s="146"/>
      <c r="V128" s="146"/>
      <c r="W128" s="146"/>
      <c r="X128" s="328"/>
      <c r="Y128" s="328"/>
      <c r="Z128" s="328"/>
      <c r="AA128" s="328"/>
      <c r="AB128" s="146"/>
      <c r="AC128" s="146"/>
      <c r="AD128" s="146"/>
      <c r="AE128" s="328"/>
      <c r="AF128" s="328"/>
      <c r="AG128" s="328"/>
      <c r="AH128" s="146"/>
      <c r="AI128" s="146"/>
      <c r="AJ128" s="146"/>
      <c r="AK128" s="146"/>
      <c r="AL128" s="146"/>
      <c r="AM128" s="146"/>
    </row>
    <row r="129" spans="1:39" x14ac:dyDescent="0.25">
      <c r="A129" s="146"/>
      <c r="B129" s="146"/>
      <c r="C129" s="146"/>
      <c r="D129" s="146"/>
      <c r="E129" s="146"/>
      <c r="F129" s="146"/>
      <c r="G129" s="146"/>
      <c r="H129" s="146"/>
      <c r="I129" s="146"/>
      <c r="J129" s="146"/>
      <c r="K129" s="146"/>
      <c r="L129" s="146"/>
      <c r="M129" s="146"/>
      <c r="N129" s="328"/>
      <c r="O129" s="328"/>
      <c r="P129" s="146"/>
      <c r="Q129" s="146"/>
      <c r="R129" s="146"/>
      <c r="S129" s="328"/>
      <c r="T129" s="328"/>
      <c r="U129" s="146"/>
      <c r="V129" s="146"/>
      <c r="W129" s="146"/>
      <c r="X129" s="328"/>
      <c r="Y129" s="328"/>
      <c r="Z129" s="328"/>
      <c r="AA129" s="328"/>
      <c r="AB129" s="146"/>
      <c r="AC129" s="146"/>
      <c r="AD129" s="146"/>
      <c r="AE129" s="328"/>
      <c r="AF129" s="328"/>
      <c r="AG129" s="328"/>
      <c r="AH129" s="146"/>
      <c r="AI129" s="146"/>
      <c r="AJ129" s="146"/>
      <c r="AK129" s="146"/>
      <c r="AL129" s="146"/>
      <c r="AM129" s="146"/>
    </row>
    <row r="130" spans="1:39" x14ac:dyDescent="0.25">
      <c r="A130" s="146"/>
      <c r="B130" s="146"/>
      <c r="C130" s="146"/>
      <c r="D130" s="146"/>
      <c r="E130" s="146"/>
      <c r="F130" s="146"/>
      <c r="G130" s="146"/>
      <c r="H130" s="146"/>
      <c r="I130" s="146"/>
      <c r="J130" s="146"/>
      <c r="K130" s="146"/>
      <c r="L130" s="146"/>
      <c r="M130" s="146"/>
      <c r="N130" s="328"/>
      <c r="O130" s="328"/>
      <c r="P130" s="146"/>
      <c r="Q130" s="146"/>
      <c r="R130" s="146"/>
      <c r="S130" s="328"/>
      <c r="T130" s="328"/>
      <c r="U130" s="146"/>
      <c r="V130" s="146"/>
      <c r="W130" s="146"/>
      <c r="X130" s="328"/>
      <c r="Y130" s="328"/>
      <c r="Z130" s="328"/>
      <c r="AA130" s="328"/>
      <c r="AB130" s="146"/>
      <c r="AC130" s="146"/>
      <c r="AD130" s="146"/>
      <c r="AE130" s="328"/>
      <c r="AF130" s="328"/>
      <c r="AG130" s="328"/>
      <c r="AH130" s="146"/>
      <c r="AI130" s="146"/>
      <c r="AJ130" s="146"/>
      <c r="AK130" s="146"/>
      <c r="AL130" s="146"/>
      <c r="AM130" s="146"/>
    </row>
    <row r="131" spans="1:39" x14ac:dyDescent="0.25">
      <c r="A131" s="146"/>
      <c r="B131" s="146"/>
      <c r="C131" s="146"/>
      <c r="D131" s="146"/>
      <c r="E131" s="146"/>
      <c r="F131" s="146"/>
      <c r="G131" s="146"/>
      <c r="H131" s="146"/>
      <c r="I131" s="146"/>
      <c r="J131" s="146"/>
      <c r="K131" s="146"/>
      <c r="L131" s="146"/>
      <c r="M131" s="146"/>
      <c r="N131" s="328"/>
      <c r="O131" s="328"/>
      <c r="P131" s="146"/>
      <c r="Q131" s="146"/>
      <c r="R131" s="146"/>
      <c r="S131" s="328"/>
      <c r="T131" s="328"/>
      <c r="U131" s="146"/>
      <c r="V131" s="146"/>
      <c r="W131" s="146"/>
      <c r="X131" s="328"/>
      <c r="Y131" s="328"/>
      <c r="Z131" s="328"/>
      <c r="AA131" s="328"/>
      <c r="AB131" s="146"/>
      <c r="AC131" s="146"/>
      <c r="AD131" s="146"/>
      <c r="AE131" s="328"/>
      <c r="AF131" s="328"/>
      <c r="AG131" s="328"/>
      <c r="AH131" s="146"/>
      <c r="AI131" s="146"/>
      <c r="AJ131" s="146"/>
      <c r="AK131" s="146"/>
      <c r="AL131" s="146"/>
      <c r="AM131" s="146"/>
    </row>
    <row r="132" spans="1:39" x14ac:dyDescent="0.25">
      <c r="A132" s="146"/>
      <c r="B132" s="146"/>
      <c r="C132" s="146"/>
      <c r="D132" s="146"/>
      <c r="E132" s="146"/>
      <c r="F132" s="146"/>
      <c r="G132" s="146"/>
      <c r="H132" s="146"/>
      <c r="I132" s="146"/>
      <c r="J132" s="146"/>
      <c r="K132" s="146"/>
      <c r="L132" s="146"/>
      <c r="M132" s="146"/>
      <c r="N132" s="328"/>
      <c r="O132" s="328"/>
      <c r="P132" s="146"/>
      <c r="Q132" s="146"/>
      <c r="R132" s="146"/>
      <c r="S132" s="328"/>
      <c r="T132" s="328"/>
      <c r="U132" s="146"/>
      <c r="V132" s="146"/>
      <c r="W132" s="146"/>
      <c r="X132" s="328"/>
      <c r="Y132" s="328"/>
      <c r="Z132" s="328"/>
      <c r="AA132" s="328"/>
      <c r="AB132" s="146"/>
      <c r="AC132" s="146"/>
      <c r="AD132" s="146"/>
      <c r="AE132" s="328"/>
      <c r="AF132" s="328"/>
      <c r="AG132" s="328"/>
      <c r="AH132" s="146"/>
      <c r="AI132" s="146"/>
      <c r="AJ132" s="146"/>
      <c r="AK132" s="146"/>
      <c r="AL132" s="146"/>
      <c r="AM132" s="146"/>
    </row>
    <row r="133" spans="1:39" x14ac:dyDescent="0.25">
      <c r="A133" s="146"/>
      <c r="B133" s="146"/>
      <c r="C133" s="146"/>
      <c r="D133" s="146"/>
      <c r="E133" s="146"/>
      <c r="F133" s="146"/>
      <c r="G133" s="146"/>
      <c r="H133" s="146"/>
      <c r="I133" s="146"/>
      <c r="J133" s="146"/>
      <c r="K133" s="146"/>
      <c r="L133" s="146"/>
      <c r="M133" s="146"/>
      <c r="N133" s="328"/>
      <c r="O133" s="328"/>
      <c r="P133" s="146"/>
      <c r="Q133" s="146"/>
      <c r="R133" s="146"/>
      <c r="S133" s="328"/>
      <c r="T133" s="328"/>
      <c r="U133" s="146"/>
      <c r="V133" s="146"/>
      <c r="W133" s="146"/>
      <c r="X133" s="328"/>
      <c r="Y133" s="328"/>
      <c r="Z133" s="328"/>
      <c r="AA133" s="328"/>
      <c r="AB133" s="146"/>
      <c r="AC133" s="146"/>
      <c r="AD133" s="146"/>
      <c r="AE133" s="328"/>
      <c r="AF133" s="328"/>
      <c r="AG133" s="328"/>
      <c r="AH133" s="146"/>
      <c r="AI133" s="146"/>
      <c r="AJ133" s="146"/>
      <c r="AK133" s="146"/>
      <c r="AL133" s="146"/>
      <c r="AM133" s="146"/>
    </row>
    <row r="134" spans="1:39" x14ac:dyDescent="0.25">
      <c r="A134" s="146"/>
      <c r="B134" s="146"/>
      <c r="C134" s="146"/>
      <c r="D134" s="146"/>
      <c r="E134" s="146"/>
      <c r="F134" s="146"/>
      <c r="G134" s="146"/>
      <c r="H134" s="146"/>
      <c r="I134" s="146"/>
      <c r="J134" s="146"/>
      <c r="K134" s="146"/>
      <c r="L134" s="146"/>
      <c r="M134" s="146"/>
      <c r="N134" s="328"/>
      <c r="O134" s="328"/>
      <c r="P134" s="146"/>
      <c r="Q134" s="146"/>
      <c r="R134" s="146"/>
      <c r="S134" s="328"/>
      <c r="T134" s="328"/>
      <c r="U134" s="146"/>
      <c r="V134" s="146"/>
      <c r="W134" s="146"/>
      <c r="X134" s="328"/>
      <c r="Y134" s="328"/>
      <c r="Z134" s="328"/>
      <c r="AA134" s="328"/>
      <c r="AB134" s="146"/>
      <c r="AC134" s="146"/>
      <c r="AD134" s="146"/>
      <c r="AE134" s="328"/>
      <c r="AF134" s="328"/>
      <c r="AG134" s="328"/>
      <c r="AH134" s="146"/>
      <c r="AI134" s="146"/>
      <c r="AJ134" s="146"/>
      <c r="AK134" s="146"/>
      <c r="AL134" s="146"/>
      <c r="AM134" s="146"/>
    </row>
    <row r="135" spans="1:39" x14ac:dyDescent="0.25">
      <c r="A135" s="146"/>
      <c r="B135" s="146"/>
      <c r="C135" s="146"/>
      <c r="D135" s="146"/>
      <c r="E135" s="146"/>
      <c r="F135" s="146"/>
      <c r="G135" s="146"/>
      <c r="H135" s="146"/>
      <c r="I135" s="146"/>
      <c r="J135" s="146"/>
      <c r="K135" s="146"/>
      <c r="L135" s="146"/>
      <c r="M135" s="146"/>
      <c r="N135" s="328"/>
      <c r="O135" s="328"/>
      <c r="P135" s="146"/>
      <c r="Q135" s="146"/>
      <c r="R135" s="146"/>
      <c r="S135" s="328"/>
      <c r="T135" s="328"/>
      <c r="U135" s="146"/>
      <c r="V135" s="146"/>
      <c r="W135" s="146"/>
      <c r="X135" s="328"/>
      <c r="Y135" s="328"/>
      <c r="Z135" s="328"/>
      <c r="AA135" s="328"/>
      <c r="AB135" s="146"/>
      <c r="AC135" s="146"/>
      <c r="AD135" s="146"/>
      <c r="AE135" s="328"/>
      <c r="AF135" s="328"/>
      <c r="AG135" s="328"/>
      <c r="AH135" s="146"/>
      <c r="AI135" s="146"/>
      <c r="AJ135" s="146"/>
      <c r="AK135" s="146"/>
      <c r="AL135" s="146"/>
      <c r="AM135" s="146"/>
    </row>
    <row r="136" spans="1:39" x14ac:dyDescent="0.25">
      <c r="A136" s="146"/>
      <c r="B136" s="146"/>
      <c r="C136" s="146"/>
      <c r="D136" s="146"/>
      <c r="E136" s="146"/>
      <c r="F136" s="146"/>
      <c r="G136" s="146"/>
      <c r="H136" s="146"/>
      <c r="I136" s="146"/>
      <c r="J136" s="146"/>
      <c r="K136" s="146"/>
      <c r="L136" s="146"/>
      <c r="M136" s="146"/>
      <c r="N136" s="328"/>
      <c r="O136" s="328"/>
      <c r="P136" s="146"/>
      <c r="Q136" s="146"/>
      <c r="R136" s="146"/>
      <c r="S136" s="328"/>
      <c r="T136" s="328"/>
      <c r="U136" s="146"/>
      <c r="V136" s="146"/>
      <c r="W136" s="146"/>
      <c r="X136" s="328"/>
      <c r="Y136" s="328"/>
      <c r="Z136" s="328"/>
      <c r="AA136" s="328"/>
      <c r="AB136" s="146"/>
      <c r="AC136" s="146"/>
      <c r="AD136" s="146"/>
      <c r="AE136" s="328"/>
      <c r="AF136" s="328"/>
      <c r="AG136" s="328"/>
      <c r="AH136" s="146"/>
      <c r="AI136" s="146"/>
      <c r="AJ136" s="146"/>
      <c r="AK136" s="146"/>
      <c r="AL136" s="146"/>
      <c r="AM136" s="146"/>
    </row>
  </sheetData>
  <mergeCells count="15">
    <mergeCell ref="A1:AD1"/>
    <mergeCell ref="K5:O5"/>
    <mergeCell ref="K27:O27"/>
    <mergeCell ref="K47:O47"/>
    <mergeCell ref="A119:J119"/>
    <mergeCell ref="A4:A5"/>
    <mergeCell ref="A26:A27"/>
    <mergeCell ref="A84:A85"/>
    <mergeCell ref="A46:A47"/>
    <mergeCell ref="A118:J118"/>
    <mergeCell ref="K85:O85"/>
    <mergeCell ref="A3:AD3"/>
    <mergeCell ref="A25:AD25"/>
    <mergeCell ref="A45:AD45"/>
    <mergeCell ref="A83:AD83"/>
  </mergeCells>
  <phoneticPr fontId="15" type="noConversion"/>
  <printOptions horizontalCentered="1" verticalCentered="1"/>
  <pageMargins left="0.25" right="0.49" top="0.2" bottom="0.38" header="0.17" footer="0.25"/>
  <pageSetup paperSize="5" scale="55" orientation="landscape" r:id="rId1"/>
  <headerFooter alignWithMargins="0">
    <oddFooter>&amp;RSource: Office of Institutional Research</oddFooter>
  </headerFooter>
  <rowBreaks count="2" manualBreakCount="2">
    <brk id="44" max="29" man="1"/>
    <brk id="118" max="17" man="1"/>
  </rowBreaks>
  <webPublishItems count="1">
    <webPublishItem id="531" divId="2004_2005 FACT BOOK WORKING COPY_531" sourceType="sheet" destinationFile="C:\Documents and Settings\mkirkpatrick\My Documents\2005-2006 Fact Book\2005-2006 WEB PAGES\05-06Fall2005FTE.htm"/>
  </webPublishItem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B3:Z15"/>
  <sheetViews>
    <sheetView workbookViewId="0"/>
  </sheetViews>
  <sheetFormatPr defaultColWidth="6.6640625" defaultRowHeight="13.2" x14ac:dyDescent="0.25"/>
  <cols>
    <col min="1" max="1" width="4.88671875" style="157" customWidth="1"/>
    <col min="2" max="2" width="18.6640625" style="157" customWidth="1"/>
    <col min="3" max="4" width="7.6640625" style="157" customWidth="1"/>
    <col min="5" max="5" width="9.6640625" style="157" bestFit="1" customWidth="1"/>
    <col min="6" max="6" width="7.6640625" style="157" customWidth="1"/>
    <col min="7" max="7" width="9.6640625" style="157" bestFit="1" customWidth="1"/>
    <col min="8" max="8" width="7.6640625" style="157" customWidth="1"/>
    <col min="9" max="9" width="9.6640625" style="157" bestFit="1" customWidth="1"/>
    <col min="10" max="10" width="7.5546875" style="157" customWidth="1"/>
    <col min="11" max="11" width="9.6640625" style="157" bestFit="1" customWidth="1"/>
    <col min="12" max="12" width="7.5546875" style="157" customWidth="1"/>
    <col min="13" max="13" width="9.6640625" style="157" bestFit="1" customWidth="1"/>
    <col min="14" max="14" width="7.5546875" style="157" customWidth="1"/>
    <col min="15" max="15" width="9.6640625" style="157" bestFit="1" customWidth="1"/>
    <col min="16" max="16" width="7.5546875" style="157" customWidth="1"/>
    <col min="17" max="17" width="9.6640625" style="157" bestFit="1" customWidth="1"/>
    <col min="18" max="18" width="7.5546875" style="157" customWidth="1"/>
    <col min="19" max="19" width="9.6640625" style="157" bestFit="1" customWidth="1"/>
    <col min="20" max="20" width="7.5546875" style="157" customWidth="1"/>
    <col min="21" max="21" width="9.6640625" style="157" bestFit="1" customWidth="1"/>
    <col min="22" max="24" width="7.5546875" style="157" customWidth="1"/>
    <col min="25" max="26" width="6.6640625" style="1288"/>
    <col min="27" max="16384" width="6.6640625" style="157"/>
  </cols>
  <sheetData>
    <row r="3" spans="2:26" ht="12.75" customHeight="1" x14ac:dyDescent="0.25">
      <c r="B3" s="1729" t="s">
        <v>17</v>
      </c>
      <c r="C3" s="1729"/>
      <c r="D3" s="1729"/>
      <c r="E3" s="1729"/>
      <c r="F3" s="1729"/>
      <c r="G3" s="1729"/>
      <c r="H3" s="1729"/>
      <c r="I3" s="1729"/>
      <c r="J3" s="1729"/>
      <c r="K3" s="1729"/>
      <c r="L3" s="1729"/>
      <c r="M3" s="1729"/>
      <c r="N3" s="1729"/>
      <c r="O3" s="1729"/>
      <c r="P3" s="1729"/>
      <c r="Q3" s="1729"/>
      <c r="R3" s="1729"/>
      <c r="S3" s="1729"/>
      <c r="T3" s="1729"/>
      <c r="U3" s="1729"/>
    </row>
    <row r="4" spans="2:26" ht="12.75" customHeight="1" x14ac:dyDescent="0.25">
      <c r="B4" s="1729"/>
      <c r="C4" s="1729"/>
      <c r="D4" s="1729"/>
      <c r="E4" s="1729"/>
      <c r="F4" s="1729"/>
      <c r="G4" s="1729"/>
      <c r="H4" s="1729"/>
      <c r="I4" s="1729"/>
      <c r="J4" s="1729"/>
      <c r="K4" s="1729"/>
      <c r="L4" s="1729"/>
      <c r="M4" s="1729"/>
      <c r="N4" s="1729"/>
      <c r="O4" s="1729"/>
      <c r="P4" s="1729"/>
      <c r="Q4" s="1729"/>
      <c r="R4" s="1729"/>
      <c r="S4" s="1729"/>
      <c r="T4" s="1729"/>
      <c r="U4" s="1729"/>
    </row>
    <row r="6" spans="2:26" x14ac:dyDescent="0.25">
      <c r="C6" s="1081">
        <v>2003</v>
      </c>
      <c r="D6" s="1081">
        <v>2004</v>
      </c>
      <c r="E6" s="1081" t="s">
        <v>18</v>
      </c>
      <c r="F6" s="1081">
        <v>2005</v>
      </c>
      <c r="G6" s="1081" t="s">
        <v>18</v>
      </c>
      <c r="H6" s="1081">
        <v>2006</v>
      </c>
      <c r="I6" s="1081" t="s">
        <v>18</v>
      </c>
      <c r="J6" s="1081">
        <v>2007</v>
      </c>
      <c r="K6" s="1081" t="s">
        <v>18</v>
      </c>
      <c r="L6" s="1081">
        <v>2008</v>
      </c>
      <c r="M6" s="1081" t="s">
        <v>18</v>
      </c>
      <c r="N6" s="1081">
        <v>2009</v>
      </c>
      <c r="O6" s="1081" t="s">
        <v>18</v>
      </c>
      <c r="P6" s="1081">
        <v>2010</v>
      </c>
      <c r="Q6" s="1081" t="s">
        <v>18</v>
      </c>
      <c r="R6" s="1081">
        <v>2011</v>
      </c>
      <c r="S6" s="1081" t="s">
        <v>18</v>
      </c>
      <c r="T6" s="1081">
        <v>2012</v>
      </c>
      <c r="U6" s="1081" t="s">
        <v>18</v>
      </c>
      <c r="Y6" s="1288">
        <v>2003</v>
      </c>
      <c r="Z6" s="1289">
        <f>+C13</f>
        <v>13.45596051632498</v>
      </c>
    </row>
    <row r="7" spans="2:26" x14ac:dyDescent="0.25">
      <c r="B7" s="776" t="s">
        <v>19</v>
      </c>
      <c r="C7" s="1082">
        <v>2634</v>
      </c>
      <c r="D7" s="1082">
        <v>2733</v>
      </c>
      <c r="E7" s="1083">
        <f>(D7-C7)/C7</f>
        <v>3.7585421412300681E-2</v>
      </c>
      <c r="F7" s="1082">
        <v>2612</v>
      </c>
      <c r="G7" s="1083">
        <f>(F7-D7)/D7</f>
        <v>-4.4273691913648008E-2</v>
      </c>
      <c r="H7" s="1082">
        <v>2642</v>
      </c>
      <c r="I7" s="1083">
        <f>(H7-F7)/F7</f>
        <v>1.1485451761102604E-2</v>
      </c>
      <c r="J7" s="1082">
        <v>2360</v>
      </c>
      <c r="K7" s="1083">
        <f>(J7-H7)/H7</f>
        <v>-0.10673732021196064</v>
      </c>
      <c r="L7" s="1082">
        <v>2540</v>
      </c>
      <c r="M7" s="1083">
        <f>(L7-J7)/J7</f>
        <v>7.6271186440677971E-2</v>
      </c>
      <c r="N7" s="1082">
        <f>2598+191</f>
        <v>2789</v>
      </c>
      <c r="O7" s="1083">
        <f>(N7-L7)/L7</f>
        <v>9.8031496062992121E-2</v>
      </c>
      <c r="P7" s="1082">
        <v>2996</v>
      </c>
      <c r="Q7" s="1083">
        <f>(P7-N7)/N7</f>
        <v>7.4220150591609899E-2</v>
      </c>
      <c r="R7" s="1082">
        <v>3038</v>
      </c>
      <c r="S7" s="1083">
        <f>(R7-P7)/P7</f>
        <v>1.4018691588785047E-2</v>
      </c>
      <c r="T7" s="1082">
        <v>2969</v>
      </c>
      <c r="U7" s="1083">
        <f>(T7-R7)/R7</f>
        <v>-2.2712310730743909E-2</v>
      </c>
      <c r="Y7" s="1288">
        <f>+Y6+1</f>
        <v>2004</v>
      </c>
      <c r="Z7" s="1289">
        <f>+D13</f>
        <v>13.540065861690451</v>
      </c>
    </row>
    <row r="8" spans="2:26" x14ac:dyDescent="0.25">
      <c r="B8" s="777"/>
      <c r="C8" s="1084"/>
      <c r="D8" s="1084"/>
      <c r="E8" s="1085"/>
      <c r="F8" s="1084"/>
      <c r="G8" s="1085"/>
      <c r="H8" s="1084"/>
      <c r="I8" s="1085"/>
      <c r="J8" s="1084"/>
      <c r="K8" s="1085"/>
      <c r="L8" s="1084"/>
      <c r="M8" s="1085"/>
      <c r="N8" s="1084"/>
      <c r="O8" s="1085"/>
      <c r="P8" s="1084"/>
      <c r="Q8" s="1085"/>
      <c r="R8" s="1084"/>
      <c r="S8" s="1085"/>
      <c r="T8" s="1084"/>
      <c r="U8" s="1085"/>
      <c r="Y8" s="1288">
        <f t="shared" ref="Y8:Y14" si="0">+Y7+1</f>
        <v>2005</v>
      </c>
      <c r="Z8" s="1289">
        <f>+F13</f>
        <v>13.774119448698315</v>
      </c>
    </row>
    <row r="9" spans="2:26" x14ac:dyDescent="0.25">
      <c r="B9" s="776" t="s">
        <v>20</v>
      </c>
      <c r="C9" s="1082">
        <v>2363</v>
      </c>
      <c r="D9" s="1082">
        <v>2467</v>
      </c>
      <c r="E9" s="1083">
        <f>(D9-C9)/C9</f>
        <v>4.4011849344054166E-2</v>
      </c>
      <c r="F9" s="1082">
        <v>2399</v>
      </c>
      <c r="G9" s="1083">
        <f>(F9-D9)/D9</f>
        <v>-2.7563842723956223E-2</v>
      </c>
      <c r="H9" s="1082">
        <v>2379</v>
      </c>
      <c r="I9" s="1083">
        <f>(H9-F9)/F9</f>
        <v>-8.3368070029178828E-3</v>
      </c>
      <c r="J9" s="1082">
        <v>2154</v>
      </c>
      <c r="K9" s="1083">
        <f>(J9-H9)/H9</f>
        <v>-9.4577553593947039E-2</v>
      </c>
      <c r="L9" s="1082">
        <v>2343</v>
      </c>
      <c r="M9" s="1083">
        <f>(L9-J9)/J9</f>
        <v>8.7743732590529241E-2</v>
      </c>
      <c r="N9" s="1087">
        <v>2628.4</v>
      </c>
      <c r="O9" s="1083">
        <f>(N9-L9)/L9</f>
        <v>0.12180964575330776</v>
      </c>
      <c r="P9" s="1087">
        <v>2813.2666666666669</v>
      </c>
      <c r="Q9" s="1083">
        <f>(P9-N9)/N9</f>
        <v>7.0334297164307863E-2</v>
      </c>
      <c r="R9" s="1082">
        <v>2829</v>
      </c>
      <c r="S9" s="1083">
        <f>(R9-P9)/P9</f>
        <v>5.5925495864830163E-3</v>
      </c>
      <c r="T9" s="1082">
        <v>2784</v>
      </c>
      <c r="U9" s="1083">
        <f>(T9-R9)/R9</f>
        <v>-1.5906680805938492E-2</v>
      </c>
      <c r="Y9" s="1288">
        <f t="shared" si="0"/>
        <v>2006</v>
      </c>
      <c r="Z9" s="1289">
        <f>+H13</f>
        <v>13.508137774413322</v>
      </c>
    </row>
    <row r="10" spans="2:26" x14ac:dyDescent="0.25">
      <c r="B10" s="777"/>
      <c r="C10" s="1084"/>
      <c r="D10" s="1084"/>
      <c r="E10" s="1085"/>
      <c r="F10" s="1084"/>
      <c r="G10" s="1085"/>
      <c r="H10" s="1084"/>
      <c r="I10" s="1085"/>
      <c r="J10" s="1084"/>
      <c r="K10" s="1085"/>
      <c r="L10" s="1084"/>
      <c r="M10" s="1085"/>
      <c r="N10" s="1084"/>
      <c r="O10" s="1085"/>
      <c r="P10" s="1084"/>
      <c r="Q10" s="1085"/>
      <c r="R10" s="1084"/>
      <c r="S10" s="1085"/>
      <c r="T10" s="1084"/>
      <c r="U10" s="1085"/>
      <c r="Y10" s="1288">
        <f t="shared" si="0"/>
        <v>2007</v>
      </c>
      <c r="Z10" s="1289">
        <f>+J13</f>
        <v>13.692796610169491</v>
      </c>
    </row>
    <row r="11" spans="2:26" x14ac:dyDescent="0.25">
      <c r="B11" s="776" t="s">
        <v>21</v>
      </c>
      <c r="C11" s="1082">
        <v>35443</v>
      </c>
      <c r="D11" s="1082">
        <v>37005</v>
      </c>
      <c r="E11" s="1083">
        <f>(D11-C11)/C11</f>
        <v>4.4070761504387324E-2</v>
      </c>
      <c r="F11" s="1082">
        <v>35978</v>
      </c>
      <c r="G11" s="1083">
        <f>(F11-D11)/D11</f>
        <v>-2.7753006350493176E-2</v>
      </c>
      <c r="H11" s="1087">
        <v>35688.5</v>
      </c>
      <c r="I11" s="1083">
        <f>(H11-F11)/F11</f>
        <v>-8.0465840235699592E-3</v>
      </c>
      <c r="J11" s="1082">
        <v>32315</v>
      </c>
      <c r="K11" s="1083">
        <f>(J11-H11)/H11</f>
        <v>-9.4526247951020631E-2</v>
      </c>
      <c r="L11" s="1082">
        <v>35151</v>
      </c>
      <c r="M11" s="1083">
        <f>(L11-J11)/J11</f>
        <v>8.7761101655577906E-2</v>
      </c>
      <c r="N11" s="1082">
        <v>39442</v>
      </c>
      <c r="O11" s="1083">
        <f>(N11-L11)/L11</f>
        <v>0.12207334072999346</v>
      </c>
      <c r="P11" s="1082">
        <v>42266</v>
      </c>
      <c r="Q11" s="1083">
        <f>(P11-N11)/N11</f>
        <v>7.1598803306120382E-2</v>
      </c>
      <c r="R11" s="1087">
        <v>42536.5</v>
      </c>
      <c r="S11" s="1083">
        <f>(R11-P11)/P11</f>
        <v>6.3999432167699804E-3</v>
      </c>
      <c r="T11" s="1082">
        <v>41808</v>
      </c>
      <c r="U11" s="1083">
        <f>(T11-R11)/R11</f>
        <v>-1.7126467857016915E-2</v>
      </c>
      <c r="Y11" s="1288">
        <f t="shared" si="0"/>
        <v>2008</v>
      </c>
      <c r="Z11" s="1289">
        <f>+L13</f>
        <v>13.838976377952756</v>
      </c>
    </row>
    <row r="12" spans="2:26" x14ac:dyDescent="0.25">
      <c r="B12" s="777"/>
      <c r="C12" s="1084"/>
      <c r="D12" s="1084"/>
      <c r="E12" s="1085"/>
      <c r="F12" s="1084"/>
      <c r="G12" s="1085"/>
      <c r="H12" s="1084"/>
      <c r="I12" s="1085"/>
      <c r="J12" s="1084"/>
      <c r="K12" s="1085"/>
      <c r="L12" s="1084"/>
      <c r="M12" s="1085"/>
      <c r="N12" s="1084"/>
      <c r="O12" s="1085"/>
      <c r="P12" s="1084"/>
      <c r="Q12" s="1085"/>
      <c r="R12" s="1084"/>
      <c r="S12" s="1085"/>
      <c r="T12" s="1084"/>
      <c r="U12" s="1085"/>
      <c r="Y12" s="1288">
        <f t="shared" si="0"/>
        <v>2009</v>
      </c>
      <c r="Z12" s="1289">
        <f>+N13</f>
        <v>14.141986375044819</v>
      </c>
    </row>
    <row r="13" spans="2:26" x14ac:dyDescent="0.25">
      <c r="B13" s="776" t="s">
        <v>22</v>
      </c>
      <c r="C13" s="1086">
        <f>+C11/C7</f>
        <v>13.45596051632498</v>
      </c>
      <c r="D13" s="1086">
        <f>+D11/D7</f>
        <v>13.540065861690451</v>
      </c>
      <c r="E13" s="1083">
        <f>(D13-C13)/C13</f>
        <v>6.2504155882021671E-3</v>
      </c>
      <c r="F13" s="1086">
        <f>+F11/F7</f>
        <v>13.774119448698315</v>
      </c>
      <c r="G13" s="1083">
        <f>(F13-D13)/D13</f>
        <v>1.7286000629441755E-2</v>
      </c>
      <c r="H13" s="1086">
        <f>+H11/H7</f>
        <v>13.508137774413322</v>
      </c>
      <c r="I13" s="1083">
        <f>(H13-F13)/F13</f>
        <v>-1.9310248852976816E-2</v>
      </c>
      <c r="J13" s="1086">
        <f>+J11/J7</f>
        <v>13.692796610169491</v>
      </c>
      <c r="K13" s="1083">
        <f>(J13-H13)/H13</f>
        <v>1.3670191912459148E-2</v>
      </c>
      <c r="L13" s="1086">
        <f>+L11/L7</f>
        <v>13.838976377952756</v>
      </c>
      <c r="M13" s="1083">
        <f>(L13-J13)/J13</f>
        <v>1.0675669254788935E-2</v>
      </c>
      <c r="N13" s="1086">
        <f>+N11/N7</f>
        <v>14.141986375044819</v>
      </c>
      <c r="O13" s="1083">
        <f>(N13-L13)/L13</f>
        <v>2.1895405325989051E-2</v>
      </c>
      <c r="P13" s="1086">
        <f>+P11/P7</f>
        <v>14.107476635514018</v>
      </c>
      <c r="Q13" s="1083">
        <f>(P13-N13)/N13</f>
        <v>-2.4402328368592825E-3</v>
      </c>
      <c r="R13" s="1086">
        <f>+R11/R7</f>
        <v>14.001481237656353</v>
      </c>
      <c r="S13" s="1083">
        <f>(R13-P13)/P13</f>
        <v>-7.5134200535078941E-3</v>
      </c>
      <c r="T13" s="1086">
        <f>+T11/T7</f>
        <v>14.081508925564163</v>
      </c>
      <c r="U13" s="1083">
        <f>(T13-R13)/R13</f>
        <v>5.7156586899234103E-3</v>
      </c>
      <c r="Y13" s="1288">
        <f t="shared" si="0"/>
        <v>2010</v>
      </c>
      <c r="Z13" s="1289">
        <f>+P13</f>
        <v>14.107476635514018</v>
      </c>
    </row>
    <row r="14" spans="2:26" x14ac:dyDescent="0.25">
      <c r="Y14" s="1288">
        <f t="shared" si="0"/>
        <v>2011</v>
      </c>
      <c r="Z14" s="1289">
        <f>+R13</f>
        <v>14.001481237656353</v>
      </c>
    </row>
    <row r="15" spans="2:26" x14ac:dyDescent="0.25">
      <c r="Y15" s="1288">
        <v>2012</v>
      </c>
      <c r="Z15" s="1288">
        <v>14.08</v>
      </c>
    </row>
  </sheetData>
  <mergeCells count="1">
    <mergeCell ref="B3:U4"/>
  </mergeCells>
  <phoneticPr fontId="15" type="noConversion"/>
  <printOptions horizontalCentered="1" verticalCentered="1"/>
  <pageMargins left="0.75" right="0.75" top="1" bottom="1" header="0.5" footer="0.5"/>
  <pageSetup scale="55" orientation="landscape" r:id="rId1"/>
  <headerFooter alignWithMargins="0">
    <oddFooter>&amp;R&amp;8Source: Office of Institutional Research</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9"/>
  <sheetViews>
    <sheetView workbookViewId="0">
      <selection sqref="A1:W1"/>
    </sheetView>
  </sheetViews>
  <sheetFormatPr defaultColWidth="7.88671875" defaultRowHeight="13.2" x14ac:dyDescent="0.25"/>
  <cols>
    <col min="1" max="1" width="22.109375" style="1079" customWidth="1"/>
    <col min="2" max="21" width="7.88671875" style="1017" customWidth="1"/>
    <col min="22" max="22" width="10.33203125" style="1017" customWidth="1"/>
    <col min="23" max="23" width="11.6640625" style="1017" customWidth="1"/>
    <col min="24" max="16384" width="7.88671875" style="1017"/>
  </cols>
  <sheetData>
    <row r="1" spans="1:23" ht="17.399999999999999" x14ac:dyDescent="0.25">
      <c r="A1" s="1730" t="s">
        <v>1524</v>
      </c>
      <c r="B1" s="1730"/>
      <c r="C1" s="1730"/>
      <c r="D1" s="1730"/>
      <c r="E1" s="1730"/>
      <c r="F1" s="1730"/>
      <c r="G1" s="1730"/>
      <c r="H1" s="1730"/>
      <c r="I1" s="1730"/>
      <c r="J1" s="1730"/>
      <c r="K1" s="1730"/>
      <c r="L1" s="1730"/>
      <c r="M1" s="1730"/>
      <c r="N1" s="1730"/>
      <c r="O1" s="1730"/>
      <c r="P1" s="1730"/>
      <c r="Q1" s="1730"/>
      <c r="R1" s="1730"/>
      <c r="S1" s="1730"/>
      <c r="T1" s="1730"/>
      <c r="U1" s="1730"/>
      <c r="V1" s="1730"/>
      <c r="W1" s="1730"/>
    </row>
    <row r="2" spans="1:23" ht="12.75" customHeight="1" thickBot="1" x14ac:dyDescent="0.3">
      <c r="A2" s="135"/>
      <c r="B2" s="1018"/>
      <c r="C2" s="1018"/>
      <c r="D2" s="1018"/>
      <c r="E2" s="1018"/>
      <c r="F2" s="1018"/>
      <c r="G2" s="1018"/>
      <c r="H2" s="1018"/>
      <c r="I2" s="1018"/>
      <c r="J2" s="1018"/>
      <c r="K2" s="1018"/>
      <c r="L2" s="1018"/>
      <c r="M2" s="1018"/>
      <c r="N2" s="1018"/>
      <c r="O2" s="1018"/>
      <c r="P2" s="1018"/>
      <c r="Q2" s="1018"/>
      <c r="R2" s="1018"/>
      <c r="S2" s="1018"/>
      <c r="T2" s="1018"/>
      <c r="U2" s="1018"/>
      <c r="V2" s="1018"/>
      <c r="W2" s="1018"/>
    </row>
    <row r="3" spans="1:23" ht="13.8" thickTop="1" x14ac:dyDescent="0.25">
      <c r="A3" s="1365"/>
      <c r="B3" s="1731" t="s">
        <v>923</v>
      </c>
      <c r="C3" s="1732"/>
      <c r="D3" s="1366"/>
      <c r="E3" s="1367"/>
      <c r="F3" s="1733" t="s">
        <v>924</v>
      </c>
      <c r="G3" s="1732"/>
      <c r="H3" s="1368"/>
      <c r="I3" s="1369"/>
      <c r="J3" s="1368" t="s">
        <v>1401</v>
      </c>
      <c r="K3" s="1370"/>
      <c r="L3" s="1371"/>
      <c r="M3" s="1372"/>
      <c r="N3" s="1373"/>
      <c r="O3" s="1374"/>
      <c r="P3" s="1375"/>
      <c r="Q3" s="1376"/>
      <c r="R3" s="1733" t="s">
        <v>1399</v>
      </c>
      <c r="S3" s="1734"/>
      <c r="T3" s="1377" t="s">
        <v>926</v>
      </c>
      <c r="U3" s="1378"/>
      <c r="V3" s="1378"/>
      <c r="W3" s="1379"/>
    </row>
    <row r="4" spans="1:23" x14ac:dyDescent="0.25">
      <c r="A4" s="1092"/>
      <c r="B4" s="1032" t="s">
        <v>927</v>
      </c>
      <c r="C4" s="1033"/>
      <c r="D4" s="1034" t="s">
        <v>1402</v>
      </c>
      <c r="E4" s="1033"/>
      <c r="F4" s="1713" t="s">
        <v>928</v>
      </c>
      <c r="G4" s="1714"/>
      <c r="H4" s="1713" t="s">
        <v>1403</v>
      </c>
      <c r="I4" s="1714"/>
      <c r="J4" s="1713" t="s">
        <v>929</v>
      </c>
      <c r="K4" s="1715"/>
      <c r="L4" s="1032" t="s">
        <v>790</v>
      </c>
      <c r="M4" s="1033"/>
      <c r="N4" s="1716" t="s">
        <v>925</v>
      </c>
      <c r="O4" s="1717"/>
      <c r="P4" s="1713" t="s">
        <v>930</v>
      </c>
      <c r="Q4" s="1714"/>
      <c r="R4" s="1032" t="s">
        <v>1400</v>
      </c>
      <c r="S4" s="1035"/>
      <c r="T4" s="756" t="s">
        <v>780</v>
      </c>
      <c r="U4" s="136"/>
      <c r="V4" s="136"/>
      <c r="W4" s="137"/>
    </row>
    <row r="5" spans="1:23" ht="39.6" x14ac:dyDescent="0.25">
      <c r="A5" s="500" t="s">
        <v>931</v>
      </c>
      <c r="B5" s="1036" t="s">
        <v>932</v>
      </c>
      <c r="C5" s="1037" t="s">
        <v>933</v>
      </c>
      <c r="D5" s="1038" t="s">
        <v>932</v>
      </c>
      <c r="E5" s="1037" t="s">
        <v>933</v>
      </c>
      <c r="F5" s="1038" t="s">
        <v>932</v>
      </c>
      <c r="G5" s="1037" t="s">
        <v>933</v>
      </c>
      <c r="H5" s="1038" t="s">
        <v>932</v>
      </c>
      <c r="I5" s="1037" t="s">
        <v>933</v>
      </c>
      <c r="J5" s="1038" t="s">
        <v>932</v>
      </c>
      <c r="K5" s="1037" t="s">
        <v>933</v>
      </c>
      <c r="L5" s="1036" t="s">
        <v>932</v>
      </c>
      <c r="M5" s="1037" t="s">
        <v>933</v>
      </c>
      <c r="N5" s="1036" t="s">
        <v>932</v>
      </c>
      <c r="O5" s="1037" t="s">
        <v>933</v>
      </c>
      <c r="P5" s="1036" t="s">
        <v>932</v>
      </c>
      <c r="Q5" s="1039" t="s">
        <v>933</v>
      </c>
      <c r="R5" s="1036" t="s">
        <v>932</v>
      </c>
      <c r="S5" s="1040" t="s">
        <v>933</v>
      </c>
      <c r="T5" s="1093" t="s">
        <v>932</v>
      </c>
      <c r="U5" s="1037" t="s">
        <v>933</v>
      </c>
      <c r="V5" s="1037" t="s">
        <v>780</v>
      </c>
      <c r="W5" s="1094" t="s">
        <v>934</v>
      </c>
    </row>
    <row r="6" spans="1:23" ht="30" customHeight="1" x14ac:dyDescent="0.25">
      <c r="A6" s="501" t="s">
        <v>935</v>
      </c>
      <c r="B6" s="364"/>
      <c r="C6" s="363"/>
      <c r="D6" s="362"/>
      <c r="E6" s="363"/>
      <c r="F6" s="362"/>
      <c r="G6" s="363"/>
      <c r="H6" s="362"/>
      <c r="I6" s="363"/>
      <c r="J6" s="362"/>
      <c r="K6" s="363"/>
      <c r="L6" s="364"/>
      <c r="M6" s="1015"/>
      <c r="N6" s="1043"/>
      <c r="O6" s="1013"/>
      <c r="P6" s="1043"/>
      <c r="Q6" s="1013"/>
      <c r="R6" s="364"/>
      <c r="S6" s="365"/>
      <c r="T6" s="951"/>
      <c r="U6" s="1015"/>
      <c r="V6" s="363"/>
      <c r="W6" s="365"/>
    </row>
    <row r="7" spans="1:23" x14ac:dyDescent="0.25">
      <c r="A7" s="1095" t="s">
        <v>689</v>
      </c>
      <c r="B7" s="1464">
        <v>1</v>
      </c>
      <c r="C7" s="1465">
        <v>1</v>
      </c>
      <c r="D7" s="1466">
        <v>1</v>
      </c>
      <c r="E7" s="1465">
        <v>6</v>
      </c>
      <c r="F7" s="1466">
        <v>0</v>
      </c>
      <c r="G7" s="1465">
        <v>0</v>
      </c>
      <c r="H7" s="1466">
        <v>0</v>
      </c>
      <c r="I7" s="1465">
        <v>0</v>
      </c>
      <c r="J7" s="1466">
        <v>0</v>
      </c>
      <c r="K7" s="1465">
        <v>0</v>
      </c>
      <c r="L7" s="1464">
        <v>0</v>
      </c>
      <c r="M7" s="1467">
        <v>0</v>
      </c>
      <c r="N7" s="1468">
        <v>4</v>
      </c>
      <c r="O7" s="1469">
        <v>1</v>
      </c>
      <c r="P7" s="1468">
        <v>0</v>
      </c>
      <c r="Q7" s="1469">
        <v>0</v>
      </c>
      <c r="R7" s="1470">
        <v>0</v>
      </c>
      <c r="S7" s="1471">
        <v>0</v>
      </c>
      <c r="T7" s="1472">
        <f t="shared" ref="T7:U13" si="0">B7+D7+F7+H7+J7+L7+R7+N7+P7</f>
        <v>6</v>
      </c>
      <c r="U7" s="1467">
        <f t="shared" si="0"/>
        <v>8</v>
      </c>
      <c r="V7" s="1465">
        <f t="shared" ref="V7:V19" si="1">T7+U7</f>
        <v>14</v>
      </c>
      <c r="W7" s="1096">
        <f t="shared" ref="W7:W19" si="2">V7/$V$34</f>
        <v>5.0359712230215823E-3</v>
      </c>
    </row>
    <row r="8" spans="1:23" x14ac:dyDescent="0.25">
      <c r="A8" s="1095" t="s">
        <v>690</v>
      </c>
      <c r="B8" s="1464">
        <v>15</v>
      </c>
      <c r="C8" s="1465">
        <v>16</v>
      </c>
      <c r="D8" s="1466">
        <v>66</v>
      </c>
      <c r="E8" s="1465">
        <v>202</v>
      </c>
      <c r="F8" s="1466">
        <v>0</v>
      </c>
      <c r="G8" s="1465">
        <v>2</v>
      </c>
      <c r="H8" s="1466">
        <v>3</v>
      </c>
      <c r="I8" s="1465">
        <v>0</v>
      </c>
      <c r="J8" s="1466">
        <v>0</v>
      </c>
      <c r="K8" s="1465">
        <v>0</v>
      </c>
      <c r="L8" s="1464">
        <v>4</v>
      </c>
      <c r="M8" s="1467">
        <v>5</v>
      </c>
      <c r="N8" s="1468">
        <v>92</v>
      </c>
      <c r="O8" s="1469">
        <v>232</v>
      </c>
      <c r="P8" s="1468">
        <v>2</v>
      </c>
      <c r="Q8" s="1469">
        <v>4</v>
      </c>
      <c r="R8" s="1470">
        <v>4</v>
      </c>
      <c r="S8" s="1473">
        <v>14</v>
      </c>
      <c r="T8" s="1472">
        <f t="shared" si="0"/>
        <v>186</v>
      </c>
      <c r="U8" s="1467">
        <f t="shared" si="0"/>
        <v>475</v>
      </c>
      <c r="V8" s="1465">
        <f t="shared" si="1"/>
        <v>661</v>
      </c>
      <c r="W8" s="1096">
        <f t="shared" si="2"/>
        <v>0.23776978417266187</v>
      </c>
    </row>
    <row r="9" spans="1:23" x14ac:dyDescent="0.25">
      <c r="A9" s="1095" t="s">
        <v>691</v>
      </c>
      <c r="B9" s="1464">
        <f t="shared" ref="B9:S9" si="3">+B8+B7</f>
        <v>16</v>
      </c>
      <c r="C9" s="1465">
        <f t="shared" si="3"/>
        <v>17</v>
      </c>
      <c r="D9" s="1466">
        <f t="shared" si="3"/>
        <v>67</v>
      </c>
      <c r="E9" s="1465">
        <f t="shared" si="3"/>
        <v>208</v>
      </c>
      <c r="F9" s="1466">
        <f t="shared" si="3"/>
        <v>0</v>
      </c>
      <c r="G9" s="1465">
        <f t="shared" si="3"/>
        <v>2</v>
      </c>
      <c r="H9" s="1466">
        <f t="shared" si="3"/>
        <v>3</v>
      </c>
      <c r="I9" s="1465">
        <f t="shared" si="3"/>
        <v>0</v>
      </c>
      <c r="J9" s="1466">
        <f t="shared" si="3"/>
        <v>0</v>
      </c>
      <c r="K9" s="1465">
        <f t="shared" si="3"/>
        <v>0</v>
      </c>
      <c r="L9" s="1466">
        <f t="shared" si="3"/>
        <v>4</v>
      </c>
      <c r="M9" s="1467">
        <f t="shared" si="3"/>
        <v>5</v>
      </c>
      <c r="N9" s="1466">
        <f t="shared" si="3"/>
        <v>96</v>
      </c>
      <c r="O9" s="1467">
        <f t="shared" si="3"/>
        <v>233</v>
      </c>
      <c r="P9" s="1466">
        <f t="shared" si="3"/>
        <v>2</v>
      </c>
      <c r="Q9" s="1467">
        <f t="shared" si="3"/>
        <v>4</v>
      </c>
      <c r="R9" s="1466">
        <f t="shared" si="3"/>
        <v>4</v>
      </c>
      <c r="S9" s="1473">
        <f t="shared" si="3"/>
        <v>14</v>
      </c>
      <c r="T9" s="1472">
        <f t="shared" si="0"/>
        <v>192</v>
      </c>
      <c r="U9" s="1467">
        <f t="shared" si="0"/>
        <v>483</v>
      </c>
      <c r="V9" s="1465">
        <f t="shared" si="1"/>
        <v>675</v>
      </c>
      <c r="W9" s="1096">
        <f t="shared" si="2"/>
        <v>0.24280575539568344</v>
      </c>
    </row>
    <row r="10" spans="1:23" x14ac:dyDescent="0.25">
      <c r="A10" s="1095" t="s">
        <v>936</v>
      </c>
      <c r="B10" s="1464">
        <v>9</v>
      </c>
      <c r="C10" s="1465">
        <v>5</v>
      </c>
      <c r="D10" s="1466">
        <v>44</v>
      </c>
      <c r="E10" s="1465">
        <v>179</v>
      </c>
      <c r="F10" s="1466">
        <v>0</v>
      </c>
      <c r="G10" s="1465">
        <v>1</v>
      </c>
      <c r="H10" s="1466">
        <v>0</v>
      </c>
      <c r="I10" s="1465">
        <v>0</v>
      </c>
      <c r="J10" s="1466">
        <v>0</v>
      </c>
      <c r="K10" s="1465">
        <v>0</v>
      </c>
      <c r="L10" s="1464">
        <v>4</v>
      </c>
      <c r="M10" s="1467">
        <v>7</v>
      </c>
      <c r="N10" s="1468">
        <v>115</v>
      </c>
      <c r="O10" s="1469">
        <v>211</v>
      </c>
      <c r="P10" s="1468">
        <v>1</v>
      </c>
      <c r="Q10" s="1469">
        <v>5</v>
      </c>
      <c r="R10" s="1470">
        <v>4</v>
      </c>
      <c r="S10" s="1473">
        <v>6</v>
      </c>
      <c r="T10" s="1472">
        <f t="shared" si="0"/>
        <v>177</v>
      </c>
      <c r="U10" s="1467">
        <f t="shared" si="0"/>
        <v>414</v>
      </c>
      <c r="V10" s="1465">
        <f t="shared" si="1"/>
        <v>591</v>
      </c>
      <c r="W10" s="1096">
        <f t="shared" si="2"/>
        <v>0.21258992805755395</v>
      </c>
    </row>
    <row r="11" spans="1:23" x14ac:dyDescent="0.25">
      <c r="A11" s="1095" t="s">
        <v>937</v>
      </c>
      <c r="B11" s="1464">
        <v>13</v>
      </c>
      <c r="C11" s="1465">
        <v>3</v>
      </c>
      <c r="D11" s="1466">
        <v>51</v>
      </c>
      <c r="E11" s="1465">
        <v>143</v>
      </c>
      <c r="F11" s="1466">
        <v>0</v>
      </c>
      <c r="G11" s="1465">
        <v>1</v>
      </c>
      <c r="H11" s="1466">
        <v>3</v>
      </c>
      <c r="I11" s="1465">
        <v>1</v>
      </c>
      <c r="J11" s="1466">
        <v>1</v>
      </c>
      <c r="K11" s="1465">
        <v>0</v>
      </c>
      <c r="L11" s="1464">
        <v>3</v>
      </c>
      <c r="M11" s="1467">
        <v>4</v>
      </c>
      <c r="N11" s="1468">
        <v>118</v>
      </c>
      <c r="O11" s="1469">
        <v>223</v>
      </c>
      <c r="P11" s="1468">
        <v>4</v>
      </c>
      <c r="Q11" s="1469">
        <v>4</v>
      </c>
      <c r="R11" s="1470">
        <v>3</v>
      </c>
      <c r="S11" s="1473">
        <v>7</v>
      </c>
      <c r="T11" s="1472">
        <f t="shared" si="0"/>
        <v>196</v>
      </c>
      <c r="U11" s="1467">
        <f t="shared" si="0"/>
        <v>386</v>
      </c>
      <c r="V11" s="1465">
        <f t="shared" si="1"/>
        <v>582</v>
      </c>
      <c r="W11" s="1096">
        <f t="shared" si="2"/>
        <v>0.2093525179856115</v>
      </c>
    </row>
    <row r="12" spans="1:23" x14ac:dyDescent="0.25">
      <c r="A12" s="1095" t="s">
        <v>938</v>
      </c>
      <c r="B12" s="1464">
        <v>6</v>
      </c>
      <c r="C12" s="1465">
        <v>2</v>
      </c>
      <c r="D12" s="1466">
        <v>39</v>
      </c>
      <c r="E12" s="1465">
        <v>126</v>
      </c>
      <c r="F12" s="1466">
        <v>0</v>
      </c>
      <c r="G12" s="1465">
        <v>1</v>
      </c>
      <c r="H12" s="1466">
        <v>1</v>
      </c>
      <c r="I12" s="1465">
        <v>1</v>
      </c>
      <c r="J12" s="1466">
        <v>3</v>
      </c>
      <c r="K12" s="1465">
        <v>0</v>
      </c>
      <c r="L12" s="1464">
        <v>6</v>
      </c>
      <c r="M12" s="1467">
        <v>2</v>
      </c>
      <c r="N12" s="1468">
        <v>144</v>
      </c>
      <c r="O12" s="1469">
        <v>281</v>
      </c>
      <c r="P12" s="1468">
        <v>7</v>
      </c>
      <c r="Q12" s="1469">
        <v>7</v>
      </c>
      <c r="R12" s="1470">
        <v>0</v>
      </c>
      <c r="S12" s="1473">
        <v>10</v>
      </c>
      <c r="T12" s="1472">
        <f t="shared" si="0"/>
        <v>206</v>
      </c>
      <c r="U12" s="1467">
        <f t="shared" si="0"/>
        <v>430</v>
      </c>
      <c r="V12" s="1465">
        <f t="shared" si="1"/>
        <v>636</v>
      </c>
      <c r="W12" s="1096">
        <f t="shared" si="2"/>
        <v>0.22877697841726619</v>
      </c>
    </row>
    <row r="13" spans="1:23" x14ac:dyDescent="0.25">
      <c r="A13" s="1476" t="s">
        <v>939</v>
      </c>
      <c r="B13" s="1464">
        <v>0</v>
      </c>
      <c r="C13" s="1465">
        <v>0</v>
      </c>
      <c r="D13" s="1466">
        <v>0</v>
      </c>
      <c r="E13" s="1465">
        <v>0</v>
      </c>
      <c r="F13" s="1466">
        <v>0</v>
      </c>
      <c r="G13" s="1465">
        <v>0</v>
      </c>
      <c r="H13" s="1466">
        <v>0</v>
      </c>
      <c r="I13" s="1465">
        <v>0</v>
      </c>
      <c r="J13" s="1466">
        <v>0</v>
      </c>
      <c r="K13" s="1465">
        <v>0</v>
      </c>
      <c r="L13" s="1464">
        <v>0</v>
      </c>
      <c r="M13" s="1467">
        <v>0</v>
      </c>
      <c r="N13" s="1468">
        <v>0</v>
      </c>
      <c r="O13" s="1469">
        <v>0</v>
      </c>
      <c r="P13" s="1468">
        <v>1</v>
      </c>
      <c r="Q13" s="1469">
        <v>0</v>
      </c>
      <c r="R13" s="1470">
        <v>0</v>
      </c>
      <c r="S13" s="1473">
        <v>0</v>
      </c>
      <c r="T13" s="1472">
        <f t="shared" si="0"/>
        <v>1</v>
      </c>
      <c r="U13" s="1467">
        <f t="shared" si="0"/>
        <v>0</v>
      </c>
      <c r="V13" s="1465">
        <f t="shared" si="1"/>
        <v>1</v>
      </c>
      <c r="W13" s="1096">
        <f t="shared" si="2"/>
        <v>3.5971223021582735E-4</v>
      </c>
    </row>
    <row r="14" spans="1:23" x14ac:dyDescent="0.25">
      <c r="A14" s="1097" t="s">
        <v>940</v>
      </c>
      <c r="B14" s="1464">
        <f t="shared" ref="B14:U14" si="4">SUM(B9:B13)</f>
        <v>44</v>
      </c>
      <c r="C14" s="1465">
        <f t="shared" si="4"/>
        <v>27</v>
      </c>
      <c r="D14" s="1466">
        <f t="shared" si="4"/>
        <v>201</v>
      </c>
      <c r="E14" s="1465">
        <f t="shared" si="4"/>
        <v>656</v>
      </c>
      <c r="F14" s="1466">
        <f t="shared" si="4"/>
        <v>0</v>
      </c>
      <c r="G14" s="1465">
        <f t="shared" si="4"/>
        <v>5</v>
      </c>
      <c r="H14" s="1466">
        <f t="shared" si="4"/>
        <v>7</v>
      </c>
      <c r="I14" s="1465">
        <f t="shared" si="4"/>
        <v>2</v>
      </c>
      <c r="J14" s="1466">
        <f t="shared" si="4"/>
        <v>4</v>
      </c>
      <c r="K14" s="1465">
        <f t="shared" si="4"/>
        <v>0</v>
      </c>
      <c r="L14" s="1466">
        <f t="shared" si="4"/>
        <v>17</v>
      </c>
      <c r="M14" s="1467">
        <f t="shared" si="4"/>
        <v>18</v>
      </c>
      <c r="N14" s="1466">
        <f t="shared" si="4"/>
        <v>473</v>
      </c>
      <c r="O14" s="1467">
        <f t="shared" si="4"/>
        <v>948</v>
      </c>
      <c r="P14" s="1466">
        <f t="shared" si="4"/>
        <v>15</v>
      </c>
      <c r="Q14" s="1467">
        <f t="shared" si="4"/>
        <v>20</v>
      </c>
      <c r="R14" s="1466">
        <f t="shared" si="4"/>
        <v>11</v>
      </c>
      <c r="S14" s="1473">
        <f t="shared" si="4"/>
        <v>37</v>
      </c>
      <c r="T14" s="1474">
        <f t="shared" si="4"/>
        <v>772</v>
      </c>
      <c r="U14" s="1469">
        <f t="shared" si="4"/>
        <v>1713</v>
      </c>
      <c r="V14" s="1465">
        <f t="shared" si="1"/>
        <v>2485</v>
      </c>
      <c r="W14" s="1096">
        <f t="shared" si="2"/>
        <v>0.89388489208633093</v>
      </c>
    </row>
    <row r="15" spans="1:23" x14ac:dyDescent="0.25">
      <c r="A15" s="1097" t="s">
        <v>490</v>
      </c>
      <c r="B15" s="1464">
        <v>0</v>
      </c>
      <c r="C15" s="1465">
        <v>0</v>
      </c>
      <c r="D15" s="1466">
        <v>0</v>
      </c>
      <c r="E15" s="1465">
        <v>0</v>
      </c>
      <c r="F15" s="1466">
        <v>0</v>
      </c>
      <c r="G15" s="1465">
        <v>0</v>
      </c>
      <c r="H15" s="1466">
        <v>0</v>
      </c>
      <c r="I15" s="1465">
        <v>0</v>
      </c>
      <c r="J15" s="1466">
        <v>0</v>
      </c>
      <c r="K15" s="1465">
        <v>0</v>
      </c>
      <c r="L15" s="1464">
        <v>0</v>
      </c>
      <c r="M15" s="1467">
        <v>0</v>
      </c>
      <c r="N15" s="1468">
        <v>0</v>
      </c>
      <c r="O15" s="1469">
        <v>0</v>
      </c>
      <c r="P15" s="1468">
        <v>0</v>
      </c>
      <c r="Q15" s="1469">
        <v>0</v>
      </c>
      <c r="R15" s="1470">
        <v>0</v>
      </c>
      <c r="S15" s="1473">
        <v>0</v>
      </c>
      <c r="T15" s="1472">
        <f t="shared" ref="T15:U17" si="5">B15+D15+F15+H15+J15+L15+R15+N15+P15</f>
        <v>0</v>
      </c>
      <c r="U15" s="1467">
        <f t="shared" si="5"/>
        <v>0</v>
      </c>
      <c r="V15" s="1465">
        <f t="shared" si="1"/>
        <v>0</v>
      </c>
      <c r="W15" s="1096">
        <f t="shared" si="2"/>
        <v>0</v>
      </c>
    </row>
    <row r="16" spans="1:23" x14ac:dyDescent="0.25">
      <c r="A16" s="1095" t="s">
        <v>491</v>
      </c>
      <c r="B16" s="1464">
        <v>0</v>
      </c>
      <c r="C16" s="1465">
        <v>0</v>
      </c>
      <c r="D16" s="1466">
        <v>2</v>
      </c>
      <c r="E16" s="1465">
        <v>0</v>
      </c>
      <c r="F16" s="1466">
        <v>0</v>
      </c>
      <c r="G16" s="1465">
        <v>0</v>
      </c>
      <c r="H16" s="1466">
        <v>0</v>
      </c>
      <c r="I16" s="1465">
        <v>0</v>
      </c>
      <c r="J16" s="1466">
        <v>0</v>
      </c>
      <c r="K16" s="1465">
        <v>0</v>
      </c>
      <c r="L16" s="1464">
        <v>0</v>
      </c>
      <c r="M16" s="1467">
        <v>0</v>
      </c>
      <c r="N16" s="1468">
        <v>2</v>
      </c>
      <c r="O16" s="1469">
        <v>2</v>
      </c>
      <c r="P16" s="1468">
        <v>0</v>
      </c>
      <c r="Q16" s="1469">
        <v>0</v>
      </c>
      <c r="R16" s="1470">
        <v>0</v>
      </c>
      <c r="S16" s="1473">
        <v>0</v>
      </c>
      <c r="T16" s="1472">
        <f t="shared" si="5"/>
        <v>4</v>
      </c>
      <c r="U16" s="1467">
        <f t="shared" si="5"/>
        <v>2</v>
      </c>
      <c r="V16" s="1465">
        <f t="shared" si="1"/>
        <v>6</v>
      </c>
      <c r="W16" s="1096">
        <f t="shared" si="2"/>
        <v>2.158273381294964E-3</v>
      </c>
    </row>
    <row r="17" spans="1:23" x14ac:dyDescent="0.25">
      <c r="A17" s="1095" t="s">
        <v>947</v>
      </c>
      <c r="B17" s="1464">
        <v>0</v>
      </c>
      <c r="C17" s="1465">
        <v>0</v>
      </c>
      <c r="D17" s="1466">
        <v>0</v>
      </c>
      <c r="E17" s="1465">
        <v>0</v>
      </c>
      <c r="F17" s="1466">
        <v>0</v>
      </c>
      <c r="G17" s="1465">
        <v>0</v>
      </c>
      <c r="H17" s="1466">
        <v>0</v>
      </c>
      <c r="I17" s="1465">
        <v>0</v>
      </c>
      <c r="J17" s="1466">
        <v>0</v>
      </c>
      <c r="K17" s="1465">
        <v>0</v>
      </c>
      <c r="L17" s="1464">
        <v>0</v>
      </c>
      <c r="M17" s="1467">
        <v>0</v>
      </c>
      <c r="N17" s="1468">
        <v>0</v>
      </c>
      <c r="O17" s="1469">
        <v>0</v>
      </c>
      <c r="P17" s="1468">
        <v>0</v>
      </c>
      <c r="Q17" s="1469">
        <v>0</v>
      </c>
      <c r="R17" s="1470">
        <v>0</v>
      </c>
      <c r="S17" s="1473">
        <v>0</v>
      </c>
      <c r="T17" s="1472">
        <f t="shared" si="5"/>
        <v>0</v>
      </c>
      <c r="U17" s="1467">
        <f t="shared" si="5"/>
        <v>0</v>
      </c>
      <c r="V17" s="1465">
        <f t="shared" si="1"/>
        <v>0</v>
      </c>
      <c r="W17" s="1096">
        <f t="shared" si="2"/>
        <v>0</v>
      </c>
    </row>
    <row r="18" spans="1:23" x14ac:dyDescent="0.25">
      <c r="A18" s="1097" t="s">
        <v>943</v>
      </c>
      <c r="B18" s="1464">
        <f t="shared" ref="B18:U18" si="6">SUM(B15:B17)</f>
        <v>0</v>
      </c>
      <c r="C18" s="1469">
        <f t="shared" si="6"/>
        <v>0</v>
      </c>
      <c r="D18" s="1464">
        <f t="shared" si="6"/>
        <v>2</v>
      </c>
      <c r="E18" s="1469">
        <f t="shared" si="6"/>
        <v>0</v>
      </c>
      <c r="F18" s="1464">
        <f t="shared" si="6"/>
        <v>0</v>
      </c>
      <c r="G18" s="1469">
        <f t="shared" si="6"/>
        <v>0</v>
      </c>
      <c r="H18" s="1464">
        <f t="shared" si="6"/>
        <v>0</v>
      </c>
      <c r="I18" s="1469">
        <f t="shared" si="6"/>
        <v>0</v>
      </c>
      <c r="J18" s="1464">
        <f t="shared" si="6"/>
        <v>0</v>
      </c>
      <c r="K18" s="1469">
        <f t="shared" si="6"/>
        <v>0</v>
      </c>
      <c r="L18" s="1464">
        <f t="shared" si="6"/>
        <v>0</v>
      </c>
      <c r="M18" s="1469">
        <f t="shared" ref="M18:S18" si="7">SUM(M15:M17)</f>
        <v>0</v>
      </c>
      <c r="N18" s="1464">
        <f t="shared" si="7"/>
        <v>2</v>
      </c>
      <c r="O18" s="1469">
        <f t="shared" si="7"/>
        <v>2</v>
      </c>
      <c r="P18" s="1464">
        <f t="shared" si="7"/>
        <v>0</v>
      </c>
      <c r="Q18" s="1469">
        <f t="shared" si="7"/>
        <v>0</v>
      </c>
      <c r="R18" s="1464">
        <f t="shared" si="7"/>
        <v>0</v>
      </c>
      <c r="S18" s="1471">
        <f t="shared" si="7"/>
        <v>0</v>
      </c>
      <c r="T18" s="1472">
        <f t="shared" si="6"/>
        <v>4</v>
      </c>
      <c r="U18" s="1469">
        <f t="shared" si="6"/>
        <v>2</v>
      </c>
      <c r="V18" s="1465">
        <f t="shared" si="1"/>
        <v>6</v>
      </c>
      <c r="W18" s="1096">
        <f t="shared" si="2"/>
        <v>2.158273381294964E-3</v>
      </c>
    </row>
    <row r="19" spans="1:23" ht="15" customHeight="1" x14ac:dyDescent="0.25">
      <c r="A19" s="502" t="s">
        <v>944</v>
      </c>
      <c r="B19" s="140">
        <f t="shared" ref="B19:S19" si="8">B14+B18</f>
        <v>44</v>
      </c>
      <c r="C19" s="139">
        <f t="shared" si="8"/>
        <v>27</v>
      </c>
      <c r="D19" s="138">
        <f t="shared" si="8"/>
        <v>203</v>
      </c>
      <c r="E19" s="139">
        <f t="shared" si="8"/>
        <v>656</v>
      </c>
      <c r="F19" s="138">
        <f t="shared" si="8"/>
        <v>0</v>
      </c>
      <c r="G19" s="139">
        <f t="shared" si="8"/>
        <v>5</v>
      </c>
      <c r="H19" s="138">
        <f t="shared" si="8"/>
        <v>7</v>
      </c>
      <c r="I19" s="139">
        <f t="shared" si="8"/>
        <v>2</v>
      </c>
      <c r="J19" s="138">
        <f t="shared" si="8"/>
        <v>4</v>
      </c>
      <c r="K19" s="139">
        <f t="shared" si="8"/>
        <v>0</v>
      </c>
      <c r="L19" s="140">
        <f t="shared" si="8"/>
        <v>17</v>
      </c>
      <c r="M19" s="1014">
        <f t="shared" si="8"/>
        <v>18</v>
      </c>
      <c r="N19" s="140">
        <f t="shared" si="8"/>
        <v>475</v>
      </c>
      <c r="O19" s="1014">
        <f t="shared" si="8"/>
        <v>950</v>
      </c>
      <c r="P19" s="140">
        <f t="shared" si="8"/>
        <v>15</v>
      </c>
      <c r="Q19" s="1014">
        <f t="shared" si="8"/>
        <v>20</v>
      </c>
      <c r="R19" s="140">
        <f t="shared" si="8"/>
        <v>11</v>
      </c>
      <c r="S19" s="393">
        <f t="shared" si="8"/>
        <v>37</v>
      </c>
      <c r="T19" s="739">
        <f>B19+D19+F19+H19+J19+L19+R19+N19+P19</f>
        <v>776</v>
      </c>
      <c r="U19" s="1072">
        <f>C19+E19+G19+I19+K19+M19+S19+O19+Q19</f>
        <v>1715</v>
      </c>
      <c r="V19" s="139">
        <f t="shared" si="1"/>
        <v>2491</v>
      </c>
      <c r="W19" s="1098">
        <f t="shared" si="2"/>
        <v>0.89604316546762586</v>
      </c>
    </row>
    <row r="20" spans="1:23" ht="30" customHeight="1" x14ac:dyDescent="0.25">
      <c r="A20" s="501" t="s">
        <v>945</v>
      </c>
      <c r="B20" s="364"/>
      <c r="C20" s="363"/>
      <c r="D20" s="362"/>
      <c r="E20" s="363"/>
      <c r="F20" s="362"/>
      <c r="G20" s="363"/>
      <c r="H20" s="362"/>
      <c r="I20" s="363"/>
      <c r="J20" s="362"/>
      <c r="K20" s="363"/>
      <c r="L20" s="364"/>
      <c r="M20" s="1013"/>
      <c r="N20" s="364"/>
      <c r="O20" s="1013"/>
      <c r="P20" s="364"/>
      <c r="Q20" s="1013"/>
      <c r="R20" s="364"/>
      <c r="S20" s="1099"/>
      <c r="T20" s="757"/>
      <c r="U20" s="1013"/>
      <c r="V20" s="363"/>
      <c r="W20" s="365"/>
    </row>
    <row r="21" spans="1:23" x14ac:dyDescent="0.25">
      <c r="A21" s="1095" t="s">
        <v>689</v>
      </c>
      <c r="B21" s="1464">
        <v>0</v>
      </c>
      <c r="C21" s="1465">
        <v>0</v>
      </c>
      <c r="D21" s="1466">
        <v>0</v>
      </c>
      <c r="E21" s="1465">
        <v>0</v>
      </c>
      <c r="F21" s="1466">
        <v>0</v>
      </c>
      <c r="G21" s="1465">
        <v>0</v>
      </c>
      <c r="H21" s="1466">
        <v>0</v>
      </c>
      <c r="I21" s="1465">
        <v>0</v>
      </c>
      <c r="J21" s="1466">
        <v>0</v>
      </c>
      <c r="K21" s="1465">
        <v>0</v>
      </c>
      <c r="L21" s="1464">
        <v>0</v>
      </c>
      <c r="M21" s="1467">
        <v>0</v>
      </c>
      <c r="N21" s="1464">
        <v>0</v>
      </c>
      <c r="O21" s="1467">
        <v>0</v>
      </c>
      <c r="P21" s="1464">
        <v>0</v>
      </c>
      <c r="Q21" s="1467">
        <v>0</v>
      </c>
      <c r="R21" s="1464">
        <v>0</v>
      </c>
      <c r="S21" s="1473">
        <v>0</v>
      </c>
      <c r="T21" s="1472">
        <f>B21+D21+F21+H21+J21+L21+R21+N21+P21</f>
        <v>0</v>
      </c>
      <c r="U21" s="1467">
        <f>C21+E21+G21+I21+K21+M21+S21+O21+Q21</f>
        <v>0</v>
      </c>
      <c r="V21" s="1465">
        <f t="shared" ref="V21:V27" si="9">T21+U21</f>
        <v>0</v>
      </c>
      <c r="W21" s="1096">
        <f t="shared" ref="W21:W33" si="10">V21/$V$34</f>
        <v>0</v>
      </c>
    </row>
    <row r="22" spans="1:23" x14ac:dyDescent="0.25">
      <c r="A22" s="1095" t="s">
        <v>690</v>
      </c>
      <c r="B22" s="1464">
        <v>0</v>
      </c>
      <c r="C22" s="1465">
        <v>0</v>
      </c>
      <c r="D22" s="1466">
        <v>1</v>
      </c>
      <c r="E22" s="1465">
        <v>0</v>
      </c>
      <c r="F22" s="1466">
        <v>0</v>
      </c>
      <c r="G22" s="1465">
        <v>0</v>
      </c>
      <c r="H22" s="1466">
        <v>0</v>
      </c>
      <c r="I22" s="1465">
        <v>0</v>
      </c>
      <c r="J22" s="1466">
        <v>0</v>
      </c>
      <c r="K22" s="1465">
        <v>0</v>
      </c>
      <c r="L22" s="1464">
        <v>0</v>
      </c>
      <c r="M22" s="1467">
        <v>0</v>
      </c>
      <c r="N22" s="1464">
        <v>0</v>
      </c>
      <c r="O22" s="1467">
        <v>3</v>
      </c>
      <c r="P22" s="1464">
        <v>0</v>
      </c>
      <c r="Q22" s="1467">
        <v>0</v>
      </c>
      <c r="R22" s="1464">
        <v>0</v>
      </c>
      <c r="S22" s="1473">
        <v>0</v>
      </c>
      <c r="T22" s="1472">
        <f>B22+D22+F22+H22+J22+L22+R22+N22+P22</f>
        <v>1</v>
      </c>
      <c r="U22" s="1467">
        <f>C22+E22+G22+I22+K22+M22+S22+O22+Q22</f>
        <v>3</v>
      </c>
      <c r="V22" s="1465">
        <f t="shared" si="9"/>
        <v>4</v>
      </c>
      <c r="W22" s="1096">
        <f t="shared" si="10"/>
        <v>1.4388489208633094E-3</v>
      </c>
    </row>
    <row r="23" spans="1:23" x14ac:dyDescent="0.25">
      <c r="A23" s="1095" t="s">
        <v>691</v>
      </c>
      <c r="B23" s="1464">
        <f t="shared" ref="B23:S23" si="11">+B22+B21</f>
        <v>0</v>
      </c>
      <c r="C23" s="1465">
        <f t="shared" si="11"/>
        <v>0</v>
      </c>
      <c r="D23" s="1464">
        <f t="shared" si="11"/>
        <v>1</v>
      </c>
      <c r="E23" s="1469">
        <f t="shared" si="11"/>
        <v>0</v>
      </c>
      <c r="F23" s="1464">
        <f t="shared" si="11"/>
        <v>0</v>
      </c>
      <c r="G23" s="1465">
        <f t="shared" si="11"/>
        <v>0</v>
      </c>
      <c r="H23" s="1466">
        <f t="shared" si="11"/>
        <v>0</v>
      </c>
      <c r="I23" s="1465">
        <f t="shared" si="11"/>
        <v>0</v>
      </c>
      <c r="J23" s="1466">
        <f t="shared" si="11"/>
        <v>0</v>
      </c>
      <c r="K23" s="1465">
        <f t="shared" si="11"/>
        <v>0</v>
      </c>
      <c r="L23" s="1466">
        <f t="shared" si="11"/>
        <v>0</v>
      </c>
      <c r="M23" s="1467">
        <f t="shared" si="11"/>
        <v>0</v>
      </c>
      <c r="N23" s="1466">
        <f t="shared" si="11"/>
        <v>0</v>
      </c>
      <c r="O23" s="1467">
        <f t="shared" si="11"/>
        <v>3</v>
      </c>
      <c r="P23" s="1466">
        <f t="shared" si="11"/>
        <v>0</v>
      </c>
      <c r="Q23" s="1467">
        <f t="shared" si="11"/>
        <v>0</v>
      </c>
      <c r="R23" s="1466">
        <f t="shared" si="11"/>
        <v>0</v>
      </c>
      <c r="S23" s="1473">
        <f t="shared" si="11"/>
        <v>0</v>
      </c>
      <c r="T23" s="1472">
        <f>SUM(T20:T22)</f>
        <v>1</v>
      </c>
      <c r="U23" s="1469">
        <f>SUM(U20:U22)</f>
        <v>3</v>
      </c>
      <c r="V23" s="1465">
        <f t="shared" si="9"/>
        <v>4</v>
      </c>
      <c r="W23" s="1096">
        <f t="shared" si="10"/>
        <v>1.4388489208633094E-3</v>
      </c>
    </row>
    <row r="24" spans="1:23" x14ac:dyDescent="0.25">
      <c r="A24" s="1095" t="s">
        <v>936</v>
      </c>
      <c r="B24" s="1464">
        <v>0</v>
      </c>
      <c r="C24" s="1465">
        <v>1</v>
      </c>
      <c r="D24" s="1466">
        <v>2</v>
      </c>
      <c r="E24" s="1465">
        <v>1</v>
      </c>
      <c r="F24" s="1466">
        <v>0</v>
      </c>
      <c r="G24" s="1465">
        <v>0</v>
      </c>
      <c r="H24" s="1466">
        <v>0</v>
      </c>
      <c r="I24" s="1465">
        <v>0</v>
      </c>
      <c r="J24" s="1466">
        <v>0</v>
      </c>
      <c r="K24" s="1465">
        <v>0</v>
      </c>
      <c r="L24" s="1464">
        <v>0</v>
      </c>
      <c r="M24" s="1467">
        <v>0</v>
      </c>
      <c r="N24" s="1464">
        <v>2</v>
      </c>
      <c r="O24" s="1467">
        <v>6</v>
      </c>
      <c r="P24" s="1464">
        <v>0</v>
      </c>
      <c r="Q24" s="1467">
        <v>1</v>
      </c>
      <c r="R24" s="1464">
        <v>0</v>
      </c>
      <c r="S24" s="1473">
        <v>0</v>
      </c>
      <c r="T24" s="1472">
        <f t="shared" ref="T24:U27" si="12">B24+D24+F24+H24+J24+L24+R24+N24+P24</f>
        <v>4</v>
      </c>
      <c r="U24" s="1467">
        <f t="shared" si="12"/>
        <v>9</v>
      </c>
      <c r="V24" s="1465">
        <f t="shared" si="9"/>
        <v>13</v>
      </c>
      <c r="W24" s="1096">
        <f t="shared" si="10"/>
        <v>4.6762589928057551E-3</v>
      </c>
    </row>
    <row r="25" spans="1:23" x14ac:dyDescent="0.25">
      <c r="A25" s="1095" t="s">
        <v>937</v>
      </c>
      <c r="B25" s="1464">
        <v>0</v>
      </c>
      <c r="C25" s="1465">
        <v>0</v>
      </c>
      <c r="D25" s="1466">
        <v>3</v>
      </c>
      <c r="E25" s="1465">
        <v>8</v>
      </c>
      <c r="F25" s="1466">
        <v>0</v>
      </c>
      <c r="G25" s="1465">
        <v>0</v>
      </c>
      <c r="H25" s="1466">
        <v>0</v>
      </c>
      <c r="I25" s="1465">
        <v>0</v>
      </c>
      <c r="J25" s="1466">
        <v>0</v>
      </c>
      <c r="K25" s="1465">
        <v>0</v>
      </c>
      <c r="L25" s="1464">
        <v>0</v>
      </c>
      <c r="M25" s="1467">
        <v>0</v>
      </c>
      <c r="N25" s="1464">
        <v>3</v>
      </c>
      <c r="O25" s="1467">
        <v>11</v>
      </c>
      <c r="P25" s="1464">
        <v>0</v>
      </c>
      <c r="Q25" s="1467">
        <v>1</v>
      </c>
      <c r="R25" s="1464">
        <v>1</v>
      </c>
      <c r="S25" s="1473">
        <v>0</v>
      </c>
      <c r="T25" s="1472">
        <f t="shared" si="12"/>
        <v>7</v>
      </c>
      <c r="U25" s="1467">
        <f t="shared" si="12"/>
        <v>20</v>
      </c>
      <c r="V25" s="1465">
        <f t="shared" si="9"/>
        <v>27</v>
      </c>
      <c r="W25" s="1096">
        <f t="shared" si="10"/>
        <v>9.7122302158273374E-3</v>
      </c>
    </row>
    <row r="26" spans="1:23" x14ac:dyDescent="0.25">
      <c r="A26" s="1095" t="s">
        <v>938</v>
      </c>
      <c r="B26" s="1464">
        <v>1</v>
      </c>
      <c r="C26" s="1465">
        <v>0</v>
      </c>
      <c r="D26" s="1466">
        <v>9</v>
      </c>
      <c r="E26" s="1465">
        <v>15</v>
      </c>
      <c r="F26" s="1466">
        <v>0</v>
      </c>
      <c r="G26" s="1465">
        <v>1</v>
      </c>
      <c r="H26" s="1466">
        <v>0</v>
      </c>
      <c r="I26" s="1465">
        <v>1</v>
      </c>
      <c r="J26" s="1466">
        <v>0</v>
      </c>
      <c r="K26" s="1465">
        <v>0</v>
      </c>
      <c r="L26" s="1464">
        <v>0</v>
      </c>
      <c r="M26" s="1467">
        <v>3</v>
      </c>
      <c r="N26" s="1464">
        <v>31</v>
      </c>
      <c r="O26" s="1467">
        <v>53</v>
      </c>
      <c r="P26" s="1464">
        <v>2</v>
      </c>
      <c r="Q26" s="1467">
        <v>21</v>
      </c>
      <c r="R26" s="1464">
        <v>0</v>
      </c>
      <c r="S26" s="1473">
        <v>0</v>
      </c>
      <c r="T26" s="1472">
        <f t="shared" si="12"/>
        <v>43</v>
      </c>
      <c r="U26" s="1467">
        <f t="shared" si="12"/>
        <v>94</v>
      </c>
      <c r="V26" s="1465">
        <f t="shared" si="9"/>
        <v>137</v>
      </c>
      <c r="W26" s="1096">
        <f t="shared" si="10"/>
        <v>4.9280575539568348E-2</v>
      </c>
    </row>
    <row r="27" spans="1:23" x14ac:dyDescent="0.25">
      <c r="A27" s="1476" t="s">
        <v>939</v>
      </c>
      <c r="B27" s="1464">
        <v>0</v>
      </c>
      <c r="C27" s="1465">
        <v>0</v>
      </c>
      <c r="D27" s="1466">
        <v>1</v>
      </c>
      <c r="E27" s="1465">
        <v>2</v>
      </c>
      <c r="F27" s="1466">
        <v>0</v>
      </c>
      <c r="G27" s="1465">
        <v>0</v>
      </c>
      <c r="H27" s="1466">
        <v>0</v>
      </c>
      <c r="I27" s="1465">
        <v>0</v>
      </c>
      <c r="J27" s="1466">
        <v>0</v>
      </c>
      <c r="K27" s="1465">
        <v>1</v>
      </c>
      <c r="L27" s="1464">
        <v>0</v>
      </c>
      <c r="M27" s="1467">
        <v>0</v>
      </c>
      <c r="N27" s="1464">
        <v>4</v>
      </c>
      <c r="O27" s="1467">
        <v>7</v>
      </c>
      <c r="P27" s="1464">
        <v>4</v>
      </c>
      <c r="Q27" s="1467">
        <v>0</v>
      </c>
      <c r="R27" s="1464">
        <v>0</v>
      </c>
      <c r="S27" s="1473">
        <v>0</v>
      </c>
      <c r="T27" s="1472">
        <f t="shared" si="12"/>
        <v>9</v>
      </c>
      <c r="U27" s="1467">
        <f t="shared" si="12"/>
        <v>10</v>
      </c>
      <c r="V27" s="1465">
        <f t="shared" si="9"/>
        <v>19</v>
      </c>
      <c r="W27" s="1096">
        <f t="shared" si="10"/>
        <v>6.8345323741007191E-3</v>
      </c>
    </row>
    <row r="28" spans="1:23" x14ac:dyDescent="0.25">
      <c r="A28" s="1097" t="s">
        <v>940</v>
      </c>
      <c r="B28" s="1466">
        <f t="shared" ref="B28:U28" si="13">SUM(B23:B27)</f>
        <v>1</v>
      </c>
      <c r="C28" s="1465">
        <f t="shared" si="13"/>
        <v>1</v>
      </c>
      <c r="D28" s="1466">
        <f t="shared" si="13"/>
        <v>16</v>
      </c>
      <c r="E28" s="1465">
        <f t="shared" si="13"/>
        <v>26</v>
      </c>
      <c r="F28" s="1466">
        <f t="shared" si="13"/>
        <v>0</v>
      </c>
      <c r="G28" s="1465">
        <f t="shared" si="13"/>
        <v>1</v>
      </c>
      <c r="H28" s="1466">
        <f t="shared" si="13"/>
        <v>0</v>
      </c>
      <c r="I28" s="1465">
        <f t="shared" si="13"/>
        <v>1</v>
      </c>
      <c r="J28" s="1466">
        <f t="shared" si="13"/>
        <v>0</v>
      </c>
      <c r="K28" s="1465">
        <f t="shared" si="13"/>
        <v>1</v>
      </c>
      <c r="L28" s="1466">
        <f t="shared" si="13"/>
        <v>0</v>
      </c>
      <c r="M28" s="1467">
        <f t="shared" si="13"/>
        <v>3</v>
      </c>
      <c r="N28" s="1466">
        <f t="shared" si="13"/>
        <v>40</v>
      </c>
      <c r="O28" s="1467">
        <f t="shared" si="13"/>
        <v>80</v>
      </c>
      <c r="P28" s="1466">
        <f t="shared" si="13"/>
        <v>6</v>
      </c>
      <c r="Q28" s="1467">
        <f t="shared" si="13"/>
        <v>23</v>
      </c>
      <c r="R28" s="1466">
        <f t="shared" si="13"/>
        <v>1</v>
      </c>
      <c r="S28" s="1473">
        <f t="shared" si="13"/>
        <v>0</v>
      </c>
      <c r="T28" s="1474">
        <f t="shared" si="13"/>
        <v>64</v>
      </c>
      <c r="U28" s="1469">
        <f t="shared" si="13"/>
        <v>136</v>
      </c>
      <c r="V28" s="1475">
        <f>+U28+T28</f>
        <v>200</v>
      </c>
      <c r="W28" s="1096">
        <f t="shared" si="10"/>
        <v>7.1942446043165464E-2</v>
      </c>
    </row>
    <row r="29" spans="1:23" x14ac:dyDescent="0.25">
      <c r="A29" s="1476" t="s">
        <v>490</v>
      </c>
      <c r="B29" s="1464">
        <v>0</v>
      </c>
      <c r="C29" s="1465">
        <v>0</v>
      </c>
      <c r="D29" s="1466">
        <v>0</v>
      </c>
      <c r="E29" s="1465">
        <v>0</v>
      </c>
      <c r="F29" s="1466">
        <v>0</v>
      </c>
      <c r="G29" s="1465">
        <v>0</v>
      </c>
      <c r="H29" s="1466">
        <v>0</v>
      </c>
      <c r="I29" s="1465">
        <v>0</v>
      </c>
      <c r="J29" s="1466">
        <v>0</v>
      </c>
      <c r="K29" s="1465">
        <v>0</v>
      </c>
      <c r="L29" s="1464">
        <v>0</v>
      </c>
      <c r="M29" s="1467">
        <v>0</v>
      </c>
      <c r="N29" s="1464">
        <v>2</v>
      </c>
      <c r="O29" s="1467">
        <v>6</v>
      </c>
      <c r="P29" s="1464">
        <v>0</v>
      </c>
      <c r="Q29" s="1467">
        <v>0</v>
      </c>
      <c r="R29" s="1464">
        <v>0</v>
      </c>
      <c r="S29" s="1473">
        <v>0</v>
      </c>
      <c r="T29" s="1472">
        <f t="shared" ref="T29:U31" si="14">B29+D29+F29+H29+J29+L29+R29+N29+P29</f>
        <v>2</v>
      </c>
      <c r="U29" s="1467">
        <f t="shared" si="14"/>
        <v>6</v>
      </c>
      <c r="V29" s="1475">
        <f>+U29+T29</f>
        <v>8</v>
      </c>
      <c r="W29" s="1096">
        <f t="shared" si="10"/>
        <v>2.8776978417266188E-3</v>
      </c>
    </row>
    <row r="30" spans="1:23" x14ac:dyDescent="0.25">
      <c r="A30" s="1476" t="s">
        <v>491</v>
      </c>
      <c r="B30" s="1464">
        <v>1</v>
      </c>
      <c r="C30" s="1465">
        <v>0</v>
      </c>
      <c r="D30" s="1466">
        <v>0</v>
      </c>
      <c r="E30" s="1465">
        <v>0</v>
      </c>
      <c r="F30" s="1466">
        <v>0</v>
      </c>
      <c r="G30" s="1465">
        <v>0</v>
      </c>
      <c r="H30" s="1466">
        <v>1</v>
      </c>
      <c r="I30" s="1465">
        <v>0</v>
      </c>
      <c r="J30" s="1466">
        <v>0</v>
      </c>
      <c r="K30" s="1465">
        <v>0</v>
      </c>
      <c r="L30" s="1464">
        <v>0</v>
      </c>
      <c r="M30" s="1467">
        <v>0</v>
      </c>
      <c r="N30" s="1464">
        <v>0</v>
      </c>
      <c r="O30" s="1467">
        <v>28</v>
      </c>
      <c r="P30" s="1464">
        <v>0</v>
      </c>
      <c r="Q30" s="1467">
        <v>0</v>
      </c>
      <c r="R30" s="1464">
        <v>0</v>
      </c>
      <c r="S30" s="1473">
        <v>0</v>
      </c>
      <c r="T30" s="1472">
        <f t="shared" si="14"/>
        <v>2</v>
      </c>
      <c r="U30" s="1467">
        <f t="shared" si="14"/>
        <v>28</v>
      </c>
      <c r="V30" s="1465">
        <f>T30+U30</f>
        <v>30</v>
      </c>
      <c r="W30" s="1096">
        <f t="shared" si="10"/>
        <v>1.0791366906474821E-2</v>
      </c>
    </row>
    <row r="31" spans="1:23" x14ac:dyDescent="0.25">
      <c r="A31" s="1476" t="s">
        <v>947</v>
      </c>
      <c r="B31" s="1464">
        <v>0</v>
      </c>
      <c r="C31" s="1465">
        <v>0</v>
      </c>
      <c r="D31" s="1466">
        <v>0</v>
      </c>
      <c r="E31" s="1465">
        <v>4</v>
      </c>
      <c r="F31" s="1466">
        <v>0</v>
      </c>
      <c r="G31" s="1465">
        <v>0</v>
      </c>
      <c r="H31" s="1466">
        <v>0</v>
      </c>
      <c r="I31" s="1465">
        <v>0</v>
      </c>
      <c r="J31" s="1466">
        <v>0</v>
      </c>
      <c r="K31" s="1465">
        <v>0</v>
      </c>
      <c r="L31" s="1464">
        <v>0</v>
      </c>
      <c r="M31" s="1467">
        <v>0</v>
      </c>
      <c r="N31" s="1464">
        <v>3</v>
      </c>
      <c r="O31" s="1467">
        <v>26</v>
      </c>
      <c r="P31" s="1464">
        <v>5</v>
      </c>
      <c r="Q31" s="1467">
        <v>13</v>
      </c>
      <c r="R31" s="1464">
        <v>0</v>
      </c>
      <c r="S31" s="1473">
        <v>0</v>
      </c>
      <c r="T31" s="1472">
        <f t="shared" si="14"/>
        <v>8</v>
      </c>
      <c r="U31" s="1467">
        <f t="shared" si="14"/>
        <v>43</v>
      </c>
      <c r="V31" s="1465">
        <f>T31+U31</f>
        <v>51</v>
      </c>
      <c r="W31" s="1096">
        <f t="shared" si="10"/>
        <v>1.8345323741007193E-2</v>
      </c>
    </row>
    <row r="32" spans="1:23" x14ac:dyDescent="0.25">
      <c r="A32" s="1476" t="s">
        <v>943</v>
      </c>
      <c r="B32" s="1056">
        <f t="shared" ref="B32:U32" si="15">SUM(B29:B31)</f>
        <v>1</v>
      </c>
      <c r="C32" s="1060">
        <f t="shared" si="15"/>
        <v>0</v>
      </c>
      <c r="D32" s="1056">
        <f t="shared" si="15"/>
        <v>0</v>
      </c>
      <c r="E32" s="1060">
        <f t="shared" si="15"/>
        <v>4</v>
      </c>
      <c r="F32" s="1056">
        <f t="shared" si="15"/>
        <v>0</v>
      </c>
      <c r="G32" s="1060">
        <f t="shared" si="15"/>
        <v>0</v>
      </c>
      <c r="H32" s="1056">
        <f t="shared" si="15"/>
        <v>1</v>
      </c>
      <c r="I32" s="1060">
        <f t="shared" si="15"/>
        <v>0</v>
      </c>
      <c r="J32" s="1056">
        <f t="shared" si="15"/>
        <v>0</v>
      </c>
      <c r="K32" s="1060">
        <f t="shared" si="15"/>
        <v>0</v>
      </c>
      <c r="L32" s="1056">
        <f t="shared" si="15"/>
        <v>0</v>
      </c>
      <c r="M32" s="1061">
        <f t="shared" si="15"/>
        <v>0</v>
      </c>
      <c r="N32" s="1056">
        <f t="shared" si="15"/>
        <v>5</v>
      </c>
      <c r="O32" s="1061">
        <f t="shared" si="15"/>
        <v>60</v>
      </c>
      <c r="P32" s="1056">
        <f t="shared" si="15"/>
        <v>5</v>
      </c>
      <c r="Q32" s="1061">
        <f t="shared" si="15"/>
        <v>13</v>
      </c>
      <c r="R32" s="1056">
        <f t="shared" si="15"/>
        <v>0</v>
      </c>
      <c r="S32" s="1070">
        <f t="shared" si="15"/>
        <v>0</v>
      </c>
      <c r="T32" s="1052">
        <f t="shared" si="15"/>
        <v>12</v>
      </c>
      <c r="U32" s="1061">
        <f t="shared" si="15"/>
        <v>77</v>
      </c>
      <c r="V32" s="1060">
        <f>T32+U32</f>
        <v>89</v>
      </c>
      <c r="W32" s="1096">
        <f t="shared" si="10"/>
        <v>3.201438848920863E-2</v>
      </c>
    </row>
    <row r="33" spans="1:23" ht="15" customHeight="1" x14ac:dyDescent="0.25">
      <c r="A33" s="502" t="s">
        <v>948</v>
      </c>
      <c r="B33" s="140">
        <f t="shared" ref="B33:U33" si="16">B28+B32</f>
        <v>2</v>
      </c>
      <c r="C33" s="139">
        <f t="shared" si="16"/>
        <v>1</v>
      </c>
      <c r="D33" s="138">
        <f t="shared" si="16"/>
        <v>16</v>
      </c>
      <c r="E33" s="139">
        <f t="shared" si="16"/>
        <v>30</v>
      </c>
      <c r="F33" s="138">
        <f t="shared" si="16"/>
        <v>0</v>
      </c>
      <c r="G33" s="139">
        <f t="shared" si="16"/>
        <v>1</v>
      </c>
      <c r="H33" s="138">
        <f t="shared" si="16"/>
        <v>1</v>
      </c>
      <c r="I33" s="139">
        <f t="shared" si="16"/>
        <v>1</v>
      </c>
      <c r="J33" s="138">
        <f t="shared" si="16"/>
        <v>0</v>
      </c>
      <c r="K33" s="139">
        <f t="shared" si="16"/>
        <v>1</v>
      </c>
      <c r="L33" s="140">
        <f t="shared" si="16"/>
        <v>0</v>
      </c>
      <c r="M33" s="1014">
        <f t="shared" si="16"/>
        <v>3</v>
      </c>
      <c r="N33" s="140">
        <f t="shared" si="16"/>
        <v>45</v>
      </c>
      <c r="O33" s="1014">
        <f t="shared" si="16"/>
        <v>140</v>
      </c>
      <c r="P33" s="140">
        <f t="shared" si="16"/>
        <v>11</v>
      </c>
      <c r="Q33" s="1014">
        <f t="shared" si="16"/>
        <v>36</v>
      </c>
      <c r="R33" s="140">
        <f t="shared" si="16"/>
        <v>1</v>
      </c>
      <c r="S33" s="393">
        <f t="shared" si="16"/>
        <v>0</v>
      </c>
      <c r="T33" s="140">
        <f t="shared" si="16"/>
        <v>76</v>
      </c>
      <c r="U33" s="1014">
        <f t="shared" si="16"/>
        <v>213</v>
      </c>
      <c r="V33" s="139">
        <f>T33+U33</f>
        <v>289</v>
      </c>
      <c r="W33" s="1098">
        <f t="shared" si="10"/>
        <v>0.1039568345323741</v>
      </c>
    </row>
    <row r="34" spans="1:23" ht="30" customHeight="1" thickBot="1" x14ac:dyDescent="0.3">
      <c r="A34" s="1380" t="s">
        <v>949</v>
      </c>
      <c r="B34" s="1381">
        <f t="shared" ref="B34:S34" si="17">B19+B33</f>
        <v>46</v>
      </c>
      <c r="C34" s="1382">
        <f t="shared" si="17"/>
        <v>28</v>
      </c>
      <c r="D34" s="1383">
        <f t="shared" si="17"/>
        <v>219</v>
      </c>
      <c r="E34" s="1382">
        <f t="shared" si="17"/>
        <v>686</v>
      </c>
      <c r="F34" s="1383">
        <f t="shared" si="17"/>
        <v>0</v>
      </c>
      <c r="G34" s="1382">
        <f t="shared" si="17"/>
        <v>6</v>
      </c>
      <c r="H34" s="1383">
        <f t="shared" si="17"/>
        <v>8</v>
      </c>
      <c r="I34" s="1382">
        <f t="shared" si="17"/>
        <v>3</v>
      </c>
      <c r="J34" s="1383">
        <f t="shared" si="17"/>
        <v>4</v>
      </c>
      <c r="K34" s="1382">
        <f t="shared" si="17"/>
        <v>1</v>
      </c>
      <c r="L34" s="1381">
        <f t="shared" si="17"/>
        <v>17</v>
      </c>
      <c r="M34" s="1384">
        <f t="shared" si="17"/>
        <v>21</v>
      </c>
      <c r="N34" s="1381">
        <f t="shared" si="17"/>
        <v>520</v>
      </c>
      <c r="O34" s="1384">
        <f t="shared" si="17"/>
        <v>1090</v>
      </c>
      <c r="P34" s="1381">
        <f t="shared" si="17"/>
        <v>26</v>
      </c>
      <c r="Q34" s="1384">
        <f t="shared" si="17"/>
        <v>56</v>
      </c>
      <c r="R34" s="1381">
        <f t="shared" si="17"/>
        <v>12</v>
      </c>
      <c r="S34" s="1385">
        <f t="shared" si="17"/>
        <v>37</v>
      </c>
      <c r="T34" s="1386">
        <f>B34+D34+F34+H34+J34+L34+R34+N34+P34</f>
        <v>852</v>
      </c>
      <c r="U34" s="1387">
        <f>C34+E34+G34+I34+K34+M34+S34+O34+Q34</f>
        <v>1928</v>
      </c>
      <c r="V34" s="1382">
        <f>T34+U34</f>
        <v>2780</v>
      </c>
      <c r="W34" s="1388">
        <f>+W33+W19</f>
        <v>1</v>
      </c>
    </row>
    <row r="35" spans="1:23" ht="13.8" thickTop="1" x14ac:dyDescent="0.25">
      <c r="A35" s="1076" t="s">
        <v>950</v>
      </c>
      <c r="B35" s="1076"/>
      <c r="C35" s="1076"/>
      <c r="D35" s="1076"/>
      <c r="E35" s="1076"/>
      <c r="F35" s="1076"/>
      <c r="G35" s="1076"/>
      <c r="H35" s="1076"/>
      <c r="I35" s="1077"/>
      <c r="J35" s="1077"/>
      <c r="K35" s="1077"/>
      <c r="L35" s="1077"/>
      <c r="M35" s="1077"/>
      <c r="N35" s="1077"/>
      <c r="O35" s="1077"/>
      <c r="P35" s="1077"/>
      <c r="Q35" s="1077"/>
      <c r="R35" s="1077"/>
      <c r="S35" s="1077"/>
      <c r="T35" s="1077"/>
      <c r="U35" s="1077"/>
      <c r="V35" s="1077"/>
      <c r="W35" s="1077"/>
    </row>
    <row r="36" spans="1:23" x14ac:dyDescent="0.25">
      <c r="B36" s="1077"/>
      <c r="C36" s="1077"/>
      <c r="D36" s="1077"/>
      <c r="E36" s="1077"/>
      <c r="F36" s="1077"/>
      <c r="G36" s="1077"/>
      <c r="H36" s="1077"/>
      <c r="I36" s="1077"/>
      <c r="J36" s="1077"/>
      <c r="K36" s="1077"/>
      <c r="L36" s="1077"/>
      <c r="M36" s="1077"/>
      <c r="N36" s="1077"/>
      <c r="O36" s="1077"/>
      <c r="P36" s="1077"/>
      <c r="Q36" s="1077"/>
      <c r="R36" s="1077"/>
      <c r="S36" s="1077"/>
      <c r="T36" s="1077"/>
      <c r="U36" s="1077"/>
      <c r="V36" s="1077"/>
      <c r="W36" s="1077"/>
    </row>
    <row r="37" spans="1:23" x14ac:dyDescent="0.25">
      <c r="B37" s="1077"/>
      <c r="C37" s="1077"/>
      <c r="D37" s="1077"/>
      <c r="E37" s="1077"/>
      <c r="F37" s="1077"/>
      <c r="G37" s="1077"/>
      <c r="H37" s="1077"/>
      <c r="I37" s="1077"/>
      <c r="J37" s="1077"/>
      <c r="K37" s="1077"/>
      <c r="L37" s="1077"/>
      <c r="M37" s="1077"/>
      <c r="N37" s="1077"/>
      <c r="O37" s="1077"/>
      <c r="P37" s="1077"/>
      <c r="Q37" s="1077"/>
      <c r="R37" s="1077"/>
      <c r="S37" s="1077"/>
      <c r="T37" s="1077"/>
      <c r="U37" s="1077"/>
      <c r="V37" s="1077"/>
      <c r="W37" s="1077"/>
    </row>
    <row r="38" spans="1:23" x14ac:dyDescent="0.25">
      <c r="B38" s="1077"/>
      <c r="C38" s="1077"/>
      <c r="D38" s="1077"/>
      <c r="E38" s="1077"/>
      <c r="F38" s="1077"/>
      <c r="G38" s="1077"/>
      <c r="H38" s="1077"/>
      <c r="I38" s="1077"/>
      <c r="J38" s="1077"/>
      <c r="K38" s="1077"/>
      <c r="L38" s="1077"/>
      <c r="M38" s="1077"/>
      <c r="N38" s="1077"/>
      <c r="O38" s="1077"/>
      <c r="P38" s="1077"/>
      <c r="Q38" s="1077"/>
      <c r="R38" s="1077"/>
      <c r="S38" s="1077"/>
      <c r="T38" s="1077"/>
      <c r="U38" s="1077"/>
      <c r="V38" s="1077"/>
      <c r="W38" s="1077"/>
    </row>
    <row r="39" spans="1:23" x14ac:dyDescent="0.25">
      <c r="B39" s="1077"/>
      <c r="C39" s="1077"/>
      <c r="D39" s="1077"/>
      <c r="E39" s="1077"/>
      <c r="F39" s="1077"/>
      <c r="G39" s="1077"/>
      <c r="H39" s="1077"/>
      <c r="I39" s="1077"/>
      <c r="J39" s="1077"/>
      <c r="K39" s="1077"/>
      <c r="L39" s="1077"/>
      <c r="M39" s="1077"/>
      <c r="N39" s="1077"/>
      <c r="O39" s="1077"/>
      <c r="P39" s="1077"/>
      <c r="Q39" s="1077"/>
      <c r="R39" s="1077"/>
      <c r="S39" s="1077"/>
      <c r="T39" s="1077"/>
      <c r="U39" s="1077"/>
      <c r="V39" s="1077"/>
      <c r="W39" s="1077"/>
    </row>
  </sheetData>
  <mergeCells count="9">
    <mergeCell ref="A1:W1"/>
    <mergeCell ref="B3:C3"/>
    <mergeCell ref="F3:G3"/>
    <mergeCell ref="R3:S3"/>
    <mergeCell ref="F4:G4"/>
    <mergeCell ref="H4:I4"/>
    <mergeCell ref="J4:K4"/>
    <mergeCell ref="N4:O4"/>
    <mergeCell ref="P4:Q4"/>
  </mergeCells>
  <pageMargins left="0.7" right="0.7" top="0.75" bottom="0.75" header="0.3" footer="0.3"/>
  <pageSetup scale="6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47"/>
  <sheetViews>
    <sheetView workbookViewId="0"/>
  </sheetViews>
  <sheetFormatPr defaultColWidth="6.6640625" defaultRowHeight="13.2" x14ac:dyDescent="0.25"/>
  <cols>
    <col min="1" max="1" width="63.33203125" style="964" customWidth="1"/>
    <col min="2" max="2" width="30.88671875" style="1318" customWidth="1"/>
    <col min="3" max="3" width="17.33203125" style="1319" customWidth="1"/>
    <col min="4" max="16384" width="6.6640625" style="963"/>
  </cols>
  <sheetData>
    <row r="1" spans="1:3" ht="22.8" x14ac:dyDescent="0.4">
      <c r="A1" s="1317" t="s">
        <v>737</v>
      </c>
      <c r="B1" s="1317"/>
      <c r="C1" s="1317"/>
    </row>
    <row r="2" spans="1:3" ht="22.8" x14ac:dyDescent="0.4">
      <c r="A2" s="1317" t="s">
        <v>1503</v>
      </c>
      <c r="B2" s="1317"/>
      <c r="C2" s="1317"/>
    </row>
    <row r="3" spans="1:3" x14ac:dyDescent="0.25">
      <c r="A3" s="1318"/>
    </row>
    <row r="4" spans="1:3" s="1322" customFormat="1" ht="13.8" thickBot="1" x14ac:dyDescent="0.3">
      <c r="A4" s="1320" t="s">
        <v>739</v>
      </c>
      <c r="B4" s="1321" t="s">
        <v>740</v>
      </c>
      <c r="C4" s="1321" t="s">
        <v>741</v>
      </c>
    </row>
    <row r="5" spans="1:3" s="1322" customFormat="1" x14ac:dyDescent="0.25">
      <c r="A5" s="1323"/>
      <c r="B5" s="1324"/>
      <c r="C5" s="1324"/>
    </row>
    <row r="6" spans="1:3" ht="12.75" customHeight="1" x14ac:dyDescent="0.25">
      <c r="A6" s="964" t="s">
        <v>185</v>
      </c>
      <c r="B6" s="1325" t="s">
        <v>742</v>
      </c>
      <c r="C6" s="1325">
        <v>2012</v>
      </c>
    </row>
    <row r="7" spans="1:3" ht="12.75" customHeight="1" x14ac:dyDescent="0.25">
      <c r="B7" s="1325"/>
      <c r="C7" s="1325"/>
    </row>
    <row r="8" spans="1:3" x14ac:dyDescent="0.25">
      <c r="A8" s="964" t="s">
        <v>1469</v>
      </c>
      <c r="B8" s="1325" t="s">
        <v>748</v>
      </c>
      <c r="C8" s="1325">
        <v>2014</v>
      </c>
    </row>
    <row r="9" spans="1:3" x14ac:dyDescent="0.25">
      <c r="B9" s="1325"/>
      <c r="C9" s="1325"/>
    </row>
    <row r="10" spans="1:3" x14ac:dyDescent="0.25">
      <c r="A10" s="964" t="s">
        <v>1470</v>
      </c>
      <c r="B10" s="1325" t="s">
        <v>750</v>
      </c>
      <c r="C10" s="1325">
        <v>2012</v>
      </c>
    </row>
    <row r="11" spans="1:3" s="1322" customFormat="1" x14ac:dyDescent="0.25">
      <c r="A11" s="1323"/>
      <c r="B11" s="1324"/>
      <c r="C11" s="1324"/>
    </row>
    <row r="12" spans="1:3" ht="12.75" customHeight="1" x14ac:dyDescent="0.25">
      <c r="A12" s="964" t="s">
        <v>1471</v>
      </c>
      <c r="B12" s="1325" t="s">
        <v>749</v>
      </c>
      <c r="C12" s="1325">
        <v>2014</v>
      </c>
    </row>
    <row r="13" spans="1:3" ht="12.75" customHeight="1" x14ac:dyDescent="0.25">
      <c r="B13" s="1325"/>
      <c r="C13" s="1325"/>
    </row>
    <row r="14" spans="1:3" ht="12.75" customHeight="1" x14ac:dyDescent="0.25">
      <c r="A14" s="964" t="s">
        <v>1472</v>
      </c>
      <c r="B14" s="1325" t="s">
        <v>747</v>
      </c>
      <c r="C14" s="1325">
        <v>2012</v>
      </c>
    </row>
    <row r="15" spans="1:3" ht="12.75" customHeight="1" x14ac:dyDescent="0.25">
      <c r="B15" s="1325"/>
      <c r="C15" s="1325"/>
    </row>
    <row r="16" spans="1:3" x14ac:dyDescent="0.25">
      <c r="A16" s="964" t="s">
        <v>1473</v>
      </c>
      <c r="B16" s="1325" t="s">
        <v>750</v>
      </c>
      <c r="C16" s="1325">
        <v>2014</v>
      </c>
    </row>
    <row r="17" spans="1:3" x14ac:dyDescent="0.25">
      <c r="B17" s="1325"/>
      <c r="C17" s="1325"/>
    </row>
    <row r="18" spans="1:3" x14ac:dyDescent="0.25">
      <c r="A18" s="964" t="s">
        <v>1474</v>
      </c>
      <c r="B18" s="1325" t="s">
        <v>748</v>
      </c>
      <c r="C18" s="1325">
        <v>2012</v>
      </c>
    </row>
    <row r="19" spans="1:3" x14ac:dyDescent="0.25">
      <c r="B19" s="1325"/>
      <c r="C19" s="1325"/>
    </row>
    <row r="20" spans="1:3" ht="12.75" customHeight="1" x14ac:dyDescent="0.25">
      <c r="A20" s="964" t="s">
        <v>1475</v>
      </c>
      <c r="B20" s="1325" t="s">
        <v>742</v>
      </c>
      <c r="C20" s="1325">
        <v>2014</v>
      </c>
    </row>
    <row r="21" spans="1:3" ht="12.75" customHeight="1" x14ac:dyDescent="0.25">
      <c r="B21" s="1325"/>
      <c r="C21" s="1325"/>
    </row>
    <row r="22" spans="1:3" ht="12.75" customHeight="1" x14ac:dyDescent="0.25">
      <c r="A22" s="964" t="s">
        <v>0</v>
      </c>
      <c r="B22" s="1325" t="s">
        <v>747</v>
      </c>
      <c r="C22" s="1325">
        <v>2014</v>
      </c>
    </row>
    <row r="23" spans="1:3" ht="12.75" customHeight="1" x14ac:dyDescent="0.25">
      <c r="B23" s="1325"/>
      <c r="C23" s="1325"/>
    </row>
    <row r="24" spans="1:3" x14ac:dyDescent="0.25">
      <c r="A24" s="964" t="s">
        <v>1476</v>
      </c>
      <c r="B24" s="1325" t="s">
        <v>743</v>
      </c>
      <c r="C24" s="1325">
        <v>2014</v>
      </c>
    </row>
    <row r="25" spans="1:3" s="1322" customFormat="1" x14ac:dyDescent="0.25">
      <c r="A25" s="1323"/>
      <c r="B25" s="1324"/>
      <c r="C25" s="1324"/>
    </row>
    <row r="26" spans="1:3" ht="12.75" customHeight="1" x14ac:dyDescent="0.25">
      <c r="A26" s="964" t="s">
        <v>1477</v>
      </c>
      <c r="B26" s="1325" t="s">
        <v>749</v>
      </c>
      <c r="C26" s="1325">
        <v>2012</v>
      </c>
    </row>
    <row r="27" spans="1:3" ht="12.75" customHeight="1" x14ac:dyDescent="0.25">
      <c r="B27" s="1325"/>
      <c r="C27" s="1325"/>
    </row>
    <row r="28" spans="1:3" ht="12.75" customHeight="1" x14ac:dyDescent="0.25">
      <c r="A28" s="964" t="s">
        <v>1478</v>
      </c>
      <c r="B28" s="1325" t="s">
        <v>743</v>
      </c>
      <c r="C28" s="1325">
        <v>2012</v>
      </c>
    </row>
    <row r="29" spans="1:3" ht="12.75" customHeight="1" x14ac:dyDescent="0.25">
      <c r="B29" s="1325"/>
      <c r="C29" s="1325"/>
    </row>
    <row r="30" spans="1:3" ht="13.8" thickBot="1" x14ac:dyDescent="0.3">
      <c r="A30" s="1320" t="s">
        <v>751</v>
      </c>
      <c r="B30" s="1326"/>
      <c r="C30" s="1327"/>
    </row>
    <row r="31" spans="1:3" x14ac:dyDescent="0.25">
      <c r="A31" s="1323"/>
      <c r="C31" s="1325"/>
    </row>
    <row r="32" spans="1:3" x14ac:dyDescent="0.25">
      <c r="A32" s="964" t="s">
        <v>1479</v>
      </c>
      <c r="B32" s="1318" t="s">
        <v>752</v>
      </c>
      <c r="C32" s="1325">
        <v>2012</v>
      </c>
    </row>
    <row r="33" spans="1:3" x14ac:dyDescent="0.25">
      <c r="C33" s="1325"/>
    </row>
    <row r="34" spans="1:3" x14ac:dyDescent="0.25">
      <c r="A34" s="964" t="s">
        <v>244</v>
      </c>
      <c r="B34" s="1318" t="s">
        <v>752</v>
      </c>
      <c r="C34" s="1325">
        <v>2014</v>
      </c>
    </row>
    <row r="35" spans="1:3" x14ac:dyDescent="0.25">
      <c r="B35" s="1328"/>
      <c r="C35" s="1328"/>
    </row>
    <row r="36" spans="1:3" x14ac:dyDescent="0.25">
      <c r="A36" s="964" t="s">
        <v>1480</v>
      </c>
      <c r="B36" s="1318" t="s">
        <v>752</v>
      </c>
      <c r="C36" s="1325">
        <v>2014</v>
      </c>
    </row>
    <row r="37" spans="1:3" x14ac:dyDescent="0.25">
      <c r="C37" s="1325"/>
    </row>
    <row r="38" spans="1:3" x14ac:dyDescent="0.25">
      <c r="A38" s="964" t="s">
        <v>1481</v>
      </c>
      <c r="B38" s="1318" t="s">
        <v>753</v>
      </c>
      <c r="C38" s="1325"/>
    </row>
    <row r="40" spans="1:3" ht="13.8" thickBot="1" x14ac:dyDescent="0.3">
      <c r="A40" s="1320" t="s">
        <v>754</v>
      </c>
      <c r="B40" s="1326"/>
      <c r="C40" s="1329"/>
    </row>
    <row r="41" spans="1:3" x14ac:dyDescent="0.25">
      <c r="A41" s="1323"/>
    </row>
    <row r="42" spans="1:3" x14ac:dyDescent="0.25">
      <c r="A42" s="964" t="s">
        <v>1482</v>
      </c>
    </row>
    <row r="43" spans="1:3" x14ac:dyDescent="0.25">
      <c r="A43" s="964" t="s">
        <v>1483</v>
      </c>
    </row>
    <row r="47" spans="1:3" x14ac:dyDescent="0.25">
      <c r="A47" s="964" t="s">
        <v>1484</v>
      </c>
    </row>
  </sheetData>
  <printOptions horizontalCentered="1" verticalCentered="1"/>
  <pageMargins left="0.75" right="0.75" top="1" bottom="1" header="0.5" footer="0.5"/>
  <pageSetup scale="81"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4"/>
  <dimension ref="A1:IV136"/>
  <sheetViews>
    <sheetView zoomScale="60" zoomScaleNormal="60" workbookViewId="0">
      <selection sqref="A1:AD1"/>
    </sheetView>
  </sheetViews>
  <sheetFormatPr defaultColWidth="6.6640625" defaultRowHeight="13.2" x14ac:dyDescent="0.25"/>
  <cols>
    <col min="1" max="1" width="62.33203125" style="143" customWidth="1"/>
    <col min="2" max="2" width="10.88671875" style="143" hidden="1" customWidth="1"/>
    <col min="3" max="4" width="10.44140625" style="143" hidden="1" customWidth="1"/>
    <col min="5" max="5" width="13" style="143" hidden="1" customWidth="1"/>
    <col min="6" max="7" width="10.88671875" style="143" customWidth="1"/>
    <col min="8" max="8" width="10.44140625" style="143" customWidth="1"/>
    <col min="9" max="9" width="13" style="143" customWidth="1"/>
    <col min="10" max="10" width="11.5546875" style="143" customWidth="1"/>
    <col min="11" max="11" width="11.33203125" style="143" customWidth="1"/>
    <col min="12" max="14" width="10.33203125" style="143" customWidth="1"/>
    <col min="15" max="15" width="12.109375" style="143" customWidth="1"/>
    <col min="16" max="16" width="11.33203125" style="143" customWidth="1"/>
    <col min="17" max="19" width="10.33203125" style="143" customWidth="1"/>
    <col min="20" max="20" width="12.109375" style="143" customWidth="1"/>
    <col min="21" max="21" width="11.33203125" style="143" customWidth="1"/>
    <col min="22" max="23" width="10.33203125" style="143" customWidth="1"/>
    <col min="24" max="24" width="13" style="143" customWidth="1"/>
    <col min="25" max="25" width="12.109375" style="143" customWidth="1"/>
    <col min="26" max="26" width="11.33203125" style="143" bestFit="1" customWidth="1"/>
    <col min="27" max="28" width="10.33203125" style="143" customWidth="1"/>
    <col min="29" max="29" width="13" style="143" bestFit="1" customWidth="1"/>
    <col min="30" max="30" width="12.109375" style="143" customWidth="1"/>
    <col min="31" max="39" width="11.5546875" style="143" customWidth="1"/>
    <col min="40" max="16384" width="6.6640625" style="143"/>
  </cols>
  <sheetData>
    <row r="1" spans="1:39" ht="24.75" customHeight="1" x14ac:dyDescent="0.35">
      <c r="A1" s="1721" t="s">
        <v>1013</v>
      </c>
      <c r="B1" s="1721"/>
      <c r="C1" s="1721"/>
      <c r="D1" s="1721"/>
      <c r="E1" s="1721"/>
      <c r="F1" s="1721"/>
      <c r="G1" s="1721"/>
      <c r="H1" s="1721"/>
      <c r="I1" s="1721"/>
      <c r="J1" s="1721"/>
      <c r="K1" s="1721"/>
      <c r="L1" s="1721"/>
      <c r="M1" s="1721"/>
      <c r="N1" s="1721"/>
      <c r="O1" s="1721"/>
      <c r="P1" s="1721"/>
      <c r="Q1" s="1721"/>
      <c r="R1" s="1721"/>
      <c r="S1" s="1721"/>
      <c r="T1" s="1721"/>
      <c r="U1" s="1721"/>
      <c r="V1" s="1721"/>
      <c r="W1" s="1721"/>
      <c r="X1" s="1721"/>
      <c r="Y1" s="1721"/>
      <c r="Z1" s="1721"/>
      <c r="AA1" s="1721"/>
      <c r="AB1" s="1721"/>
      <c r="AC1" s="1721"/>
      <c r="AD1" s="1721"/>
    </row>
    <row r="2" spans="1:39" ht="12.75" customHeight="1" thickBot="1" x14ac:dyDescent="0.3">
      <c r="A2" s="145"/>
      <c r="B2" s="147"/>
      <c r="C2" s="147"/>
      <c r="D2" s="147"/>
      <c r="E2" s="147"/>
      <c r="F2" s="147"/>
      <c r="G2" s="147"/>
      <c r="H2" s="147"/>
      <c r="I2" s="147"/>
      <c r="J2" s="147"/>
      <c r="K2" s="147"/>
      <c r="L2" s="147"/>
      <c r="M2" s="147"/>
      <c r="N2" s="328"/>
      <c r="O2" s="328"/>
      <c r="P2" s="147"/>
      <c r="Q2" s="147"/>
      <c r="R2" s="147"/>
      <c r="S2" s="147"/>
      <c r="T2" s="147"/>
      <c r="U2" s="147"/>
      <c r="V2" s="147"/>
      <c r="W2" s="147"/>
      <c r="X2" s="328"/>
      <c r="Y2" s="328"/>
      <c r="Z2" s="147"/>
      <c r="AA2" s="147"/>
      <c r="AB2" s="147"/>
      <c r="AC2" s="328"/>
      <c r="AD2" s="328"/>
      <c r="AE2" s="328"/>
      <c r="AF2" s="328"/>
      <c r="AG2" s="328"/>
      <c r="AH2" s="328"/>
      <c r="AI2" s="328"/>
      <c r="AJ2" s="328"/>
      <c r="AK2" s="328"/>
      <c r="AL2" s="328"/>
      <c r="AM2" s="328"/>
    </row>
    <row r="3" spans="1:39" customFormat="1" ht="18.600000000000001" thickTop="1" thickBot="1" x14ac:dyDescent="0.35">
      <c r="A3" s="1736" t="s">
        <v>419</v>
      </c>
      <c r="B3" s="1737"/>
      <c r="C3" s="1737"/>
      <c r="D3" s="1737"/>
      <c r="E3" s="1737"/>
      <c r="F3" s="1737"/>
      <c r="G3" s="1737"/>
      <c r="H3" s="1737"/>
      <c r="I3" s="1737"/>
      <c r="J3" s="1737"/>
      <c r="K3" s="1737"/>
      <c r="L3" s="1737"/>
      <c r="M3" s="1737"/>
      <c r="N3" s="1737"/>
      <c r="O3" s="1737"/>
      <c r="P3" s="1737"/>
      <c r="Q3" s="1737"/>
      <c r="R3" s="1737"/>
      <c r="S3" s="1737"/>
      <c r="T3" s="1737"/>
      <c r="U3" s="1737"/>
      <c r="V3" s="1737"/>
      <c r="W3" s="1737"/>
      <c r="X3" s="1737"/>
      <c r="Y3" s="1737"/>
      <c r="Z3" s="1737"/>
      <c r="AA3" s="1737"/>
      <c r="AB3" s="1737"/>
      <c r="AC3" s="1737"/>
      <c r="AD3" s="1738"/>
    </row>
    <row r="4" spans="1:39" ht="27" thickTop="1" x14ac:dyDescent="0.25">
      <c r="A4" s="1723" t="s">
        <v>952</v>
      </c>
      <c r="B4" s="148" t="s">
        <v>954</v>
      </c>
      <c r="C4" s="148" t="s">
        <v>955</v>
      </c>
      <c r="D4" s="148" t="s">
        <v>956</v>
      </c>
      <c r="E4" s="149" t="s">
        <v>957</v>
      </c>
      <c r="F4" s="148" t="s">
        <v>954</v>
      </c>
      <c r="G4" s="148" t="s">
        <v>955</v>
      </c>
      <c r="H4" s="148" t="s">
        <v>956</v>
      </c>
      <c r="I4" s="150" t="s">
        <v>957</v>
      </c>
      <c r="J4" s="729" t="s">
        <v>958</v>
      </c>
      <c r="K4" s="148" t="s">
        <v>954</v>
      </c>
      <c r="L4" s="851" t="s">
        <v>955</v>
      </c>
      <c r="M4" s="851" t="s">
        <v>956</v>
      </c>
      <c r="N4" s="823" t="s">
        <v>957</v>
      </c>
      <c r="O4" s="729" t="s">
        <v>958</v>
      </c>
      <c r="P4" s="148" t="s">
        <v>954</v>
      </c>
      <c r="Q4" s="148" t="s">
        <v>955</v>
      </c>
      <c r="R4" s="148" t="s">
        <v>956</v>
      </c>
      <c r="S4" s="150" t="s">
        <v>957</v>
      </c>
      <c r="T4" s="729" t="s">
        <v>958</v>
      </c>
      <c r="U4" s="148" t="s">
        <v>954</v>
      </c>
      <c r="V4" s="851" t="s">
        <v>955</v>
      </c>
      <c r="W4" s="851" t="s">
        <v>956</v>
      </c>
      <c r="X4" s="823" t="s">
        <v>957</v>
      </c>
      <c r="Y4" s="729" t="s">
        <v>958</v>
      </c>
      <c r="Z4" s="148" t="s">
        <v>954</v>
      </c>
      <c r="AA4" s="851" t="s">
        <v>955</v>
      </c>
      <c r="AB4" s="851" t="s">
        <v>956</v>
      </c>
      <c r="AC4" s="823" t="s">
        <v>957</v>
      </c>
      <c r="AD4" s="852" t="s">
        <v>958</v>
      </c>
      <c r="AE4" s="328"/>
      <c r="AF4" s="328"/>
      <c r="AG4" s="328"/>
      <c r="AH4" s="329"/>
      <c r="AI4" s="328"/>
      <c r="AJ4" s="328"/>
      <c r="AK4" s="328"/>
      <c r="AL4" s="328"/>
    </row>
    <row r="5" spans="1:39" ht="12.75" customHeight="1" x14ac:dyDescent="0.25">
      <c r="A5" s="1724"/>
      <c r="B5" s="1726" t="s">
        <v>1443</v>
      </c>
      <c r="C5" s="1727"/>
      <c r="D5" s="1727"/>
      <c r="E5" s="1728"/>
      <c r="F5" s="1727" t="s">
        <v>1442</v>
      </c>
      <c r="G5" s="1727"/>
      <c r="H5" s="1727"/>
      <c r="I5" s="1727"/>
      <c r="J5" s="1728"/>
      <c r="K5" s="1727" t="s">
        <v>1393</v>
      </c>
      <c r="L5" s="1727"/>
      <c r="M5" s="1727"/>
      <c r="N5" s="1727"/>
      <c r="O5" s="1728"/>
      <c r="P5" s="1727" t="s">
        <v>1394</v>
      </c>
      <c r="Q5" s="1727"/>
      <c r="R5" s="1727"/>
      <c r="S5" s="1727"/>
      <c r="T5" s="1728"/>
      <c r="U5" s="1727" t="s">
        <v>1395</v>
      </c>
      <c r="V5" s="1727"/>
      <c r="W5" s="1727"/>
      <c r="X5" s="1727"/>
      <c r="Y5" s="1728"/>
      <c r="Z5" s="1727" t="s">
        <v>1552</v>
      </c>
      <c r="AA5" s="1727"/>
      <c r="AB5" s="1727"/>
      <c r="AC5" s="1727"/>
      <c r="AD5" s="1735"/>
      <c r="AE5" s="328"/>
      <c r="AF5" s="328"/>
      <c r="AG5" s="328"/>
      <c r="AH5" s="328"/>
      <c r="AI5" s="328"/>
      <c r="AJ5" s="328"/>
      <c r="AK5" s="328"/>
      <c r="AL5" s="328"/>
    </row>
    <row r="6" spans="1:39" x14ac:dyDescent="0.25">
      <c r="A6" s="564" t="s">
        <v>423</v>
      </c>
      <c r="B6" s="151"/>
      <c r="C6" s="152"/>
      <c r="D6" s="152"/>
      <c r="E6" s="153"/>
      <c r="F6" s="151"/>
      <c r="G6" s="152"/>
      <c r="H6" s="152"/>
      <c r="I6" s="152"/>
      <c r="J6" s="518"/>
      <c r="K6" s="605"/>
      <c r="L6" s="152"/>
      <c r="M6" s="152"/>
      <c r="N6" s="152"/>
      <c r="O6" s="153"/>
      <c r="P6" s="151"/>
      <c r="Q6" s="152"/>
      <c r="R6" s="152"/>
      <c r="S6" s="152"/>
      <c r="T6" s="518"/>
      <c r="U6" s="605"/>
      <c r="V6" s="152"/>
      <c r="W6" s="152"/>
      <c r="X6" s="152"/>
      <c r="Y6" s="518"/>
      <c r="Z6" s="605"/>
      <c r="AA6" s="152"/>
      <c r="AB6" s="152"/>
      <c r="AC6" s="152"/>
      <c r="AD6" s="565"/>
      <c r="AE6" s="328"/>
      <c r="AF6" s="328"/>
      <c r="AG6" s="328"/>
      <c r="AH6" s="328"/>
      <c r="AI6" s="328"/>
      <c r="AJ6" s="328"/>
      <c r="AK6" s="328"/>
      <c r="AL6" s="328"/>
    </row>
    <row r="7" spans="1:39" x14ac:dyDescent="0.25">
      <c r="A7" s="566" t="s">
        <v>962</v>
      </c>
      <c r="B7" s="1227">
        <v>351</v>
      </c>
      <c r="C7" s="1227">
        <v>202</v>
      </c>
      <c r="D7" s="1228">
        <v>0</v>
      </c>
      <c r="E7" s="745">
        <f t="shared" ref="E7:E15" si="0">SUM(B7:D7)</f>
        <v>553</v>
      </c>
      <c r="F7" s="1227">
        <v>375</v>
      </c>
      <c r="G7" s="1227">
        <v>219</v>
      </c>
      <c r="H7" s="1228">
        <v>0</v>
      </c>
      <c r="I7" s="154">
        <f t="shared" ref="I7:I15" si="1">SUM(F7:H7)</f>
        <v>594</v>
      </c>
      <c r="J7" s="602">
        <f t="shared" ref="J7:J16" si="2">IF(E7&gt;0,(I7-E7)/E7,(IF(I7=0,"N/A",100%)))</f>
        <v>7.4141048824593131E-2</v>
      </c>
      <c r="K7" s="154">
        <v>330</v>
      </c>
      <c r="L7" s="154">
        <v>258</v>
      </c>
      <c r="M7" s="512">
        <v>0</v>
      </c>
      <c r="N7" s="154">
        <f t="shared" ref="N7:N15" si="3">SUM(K7:M7)</f>
        <v>588</v>
      </c>
      <c r="O7" s="155">
        <f>IF(I7&gt;0,(N7-I7)/I7,(IF(N7=0,"N/A",100%)))</f>
        <v>-1.0101010101010102E-2</v>
      </c>
      <c r="P7" s="512">
        <v>381</v>
      </c>
      <c r="Q7" s="154">
        <v>226</v>
      </c>
      <c r="R7" s="512">
        <v>0</v>
      </c>
      <c r="S7" s="154">
        <f t="shared" ref="S7:S15" si="4">SUM(P7:R7)</f>
        <v>607</v>
      </c>
      <c r="T7" s="602">
        <f>IF(N7&gt;0,(S7-N7)/N7,(IF(S7=0,"N/A",100%)))</f>
        <v>3.2312925170068028E-2</v>
      </c>
      <c r="U7" s="154">
        <v>411</v>
      </c>
      <c r="V7" s="154">
        <v>258</v>
      </c>
      <c r="W7" s="512">
        <v>0</v>
      </c>
      <c r="X7" s="154">
        <f t="shared" ref="X7:X15" si="5">SUM(U7:W7)</f>
        <v>669</v>
      </c>
      <c r="Y7" s="155">
        <f>IF(S7&gt;0,(X7-S7)/S7,(IF(X7=0,"N/A",100%)))</f>
        <v>0.10214168039538715</v>
      </c>
      <c r="Z7" s="154">
        <v>450</v>
      </c>
      <c r="AA7" s="154">
        <v>307</v>
      </c>
      <c r="AB7" s="512">
        <v>0</v>
      </c>
      <c r="AC7" s="154">
        <f t="shared" ref="AC7:AC15" si="6">SUM(Z7:AB7)</f>
        <v>757</v>
      </c>
      <c r="AD7" s="567">
        <f>IF(X7&gt;0,(AC7-X7)/X7,(IF(AC7=0,"N/A",100%)))</f>
        <v>0.13153961136023917</v>
      </c>
      <c r="AE7" s="328"/>
      <c r="AF7" s="328"/>
      <c r="AG7" s="328"/>
      <c r="AH7" s="328"/>
      <c r="AI7" s="328"/>
      <c r="AJ7" s="328"/>
      <c r="AK7" s="328"/>
      <c r="AL7" s="328"/>
    </row>
    <row r="8" spans="1:39" s="156" customFormat="1" x14ac:dyDescent="0.25">
      <c r="A8" s="568" t="s">
        <v>963</v>
      </c>
      <c r="B8" s="1227">
        <v>791</v>
      </c>
      <c r="C8" s="1227">
        <v>707</v>
      </c>
      <c r="D8" s="1228">
        <v>0</v>
      </c>
      <c r="E8" s="745">
        <f t="shared" si="0"/>
        <v>1498</v>
      </c>
      <c r="F8" s="1227">
        <v>840</v>
      </c>
      <c r="G8" s="1227">
        <v>775</v>
      </c>
      <c r="H8" s="1228">
        <v>0</v>
      </c>
      <c r="I8" s="154">
        <f t="shared" si="1"/>
        <v>1615</v>
      </c>
      <c r="J8" s="602">
        <f t="shared" si="2"/>
        <v>7.810413885180241E-2</v>
      </c>
      <c r="K8" s="154">
        <v>900</v>
      </c>
      <c r="L8" s="154">
        <v>835</v>
      </c>
      <c r="M8" s="512">
        <v>0</v>
      </c>
      <c r="N8" s="154">
        <f t="shared" si="3"/>
        <v>1735</v>
      </c>
      <c r="O8" s="155">
        <f t="shared" ref="O8:O15" si="7">IF(I8&gt;0,(N8-I8)/I8,(IF(N8=0,"N/A",100%)))</f>
        <v>7.4303405572755415E-2</v>
      </c>
      <c r="P8" s="512">
        <v>864</v>
      </c>
      <c r="Q8" s="154">
        <v>864</v>
      </c>
      <c r="R8" s="512">
        <v>0</v>
      </c>
      <c r="S8" s="154">
        <f t="shared" si="4"/>
        <v>1728</v>
      </c>
      <c r="T8" s="602">
        <f t="shared" ref="T8:T23" si="8">IF(N8&gt;0,(S8-N8)/N8,(IF(S8=0,"N/A",100%)))</f>
        <v>-4.0345821325648411E-3</v>
      </c>
      <c r="U8" s="154">
        <v>939</v>
      </c>
      <c r="V8" s="154">
        <v>1005</v>
      </c>
      <c r="W8" s="512">
        <v>0</v>
      </c>
      <c r="X8" s="154">
        <f t="shared" si="5"/>
        <v>1944</v>
      </c>
      <c r="Y8" s="155">
        <f t="shared" ref="Y8:Y15" si="9">IF(S8&gt;0,(X8-S8)/S8,(IF(X8=0,"N/A",100%)))</f>
        <v>0.125</v>
      </c>
      <c r="Z8" s="154">
        <v>819</v>
      </c>
      <c r="AA8" s="154">
        <v>876</v>
      </c>
      <c r="AB8" s="512">
        <v>0</v>
      </c>
      <c r="AC8" s="154">
        <f t="shared" si="6"/>
        <v>1695</v>
      </c>
      <c r="AD8" s="567">
        <f t="shared" ref="AD8:AD15" si="10">IF(X8&gt;0,(AC8-X8)/X8,(IF(AC8=0,"N/A",100%)))</f>
        <v>-0.12808641975308643</v>
      </c>
      <c r="AE8" s="569"/>
      <c r="AF8" s="569"/>
      <c r="AG8" s="569"/>
      <c r="AH8" s="569"/>
      <c r="AI8" s="569"/>
      <c r="AJ8" s="569"/>
      <c r="AK8" s="569"/>
      <c r="AL8" s="569"/>
    </row>
    <row r="9" spans="1:39" x14ac:dyDescent="0.25">
      <c r="A9" s="566" t="s">
        <v>964</v>
      </c>
      <c r="B9" s="1227">
        <v>21</v>
      </c>
      <c r="C9" s="1227">
        <v>0</v>
      </c>
      <c r="D9" s="1227">
        <v>0</v>
      </c>
      <c r="E9" s="745">
        <f t="shared" si="0"/>
        <v>21</v>
      </c>
      <c r="F9" s="1227">
        <v>33</v>
      </c>
      <c r="G9" s="1227">
        <v>0</v>
      </c>
      <c r="H9" s="1227">
        <v>0</v>
      </c>
      <c r="I9" s="154">
        <f t="shared" si="1"/>
        <v>33</v>
      </c>
      <c r="J9" s="602">
        <f t="shared" si="2"/>
        <v>0.5714285714285714</v>
      </c>
      <c r="K9" s="154">
        <v>0</v>
      </c>
      <c r="L9" s="154">
        <v>0</v>
      </c>
      <c r="M9" s="154">
        <v>0</v>
      </c>
      <c r="N9" s="154">
        <f t="shared" si="3"/>
        <v>0</v>
      </c>
      <c r="O9" s="155">
        <f t="shared" si="7"/>
        <v>-1</v>
      </c>
      <c r="P9" s="512">
        <v>1</v>
      </c>
      <c r="Q9" s="154">
        <v>0</v>
      </c>
      <c r="R9" s="154">
        <v>0</v>
      </c>
      <c r="S9" s="154">
        <f t="shared" si="4"/>
        <v>1</v>
      </c>
      <c r="T9" s="602">
        <f t="shared" si="8"/>
        <v>1</v>
      </c>
      <c r="U9" s="154">
        <v>14</v>
      </c>
      <c r="V9" s="154">
        <v>0</v>
      </c>
      <c r="W9" s="154">
        <v>0</v>
      </c>
      <c r="X9" s="154">
        <f t="shared" si="5"/>
        <v>14</v>
      </c>
      <c r="Y9" s="155">
        <f t="shared" si="9"/>
        <v>13</v>
      </c>
      <c r="Z9" s="154">
        <v>17</v>
      </c>
      <c r="AA9" s="154">
        <v>0</v>
      </c>
      <c r="AB9" s="154">
        <v>0</v>
      </c>
      <c r="AC9" s="154">
        <f t="shared" si="6"/>
        <v>17</v>
      </c>
      <c r="AD9" s="567">
        <f t="shared" si="10"/>
        <v>0.21428571428571427</v>
      </c>
      <c r="AE9" s="328"/>
      <c r="AF9" s="328"/>
      <c r="AG9" s="328"/>
      <c r="AH9" s="328"/>
      <c r="AI9" s="328"/>
      <c r="AJ9" s="328"/>
      <c r="AK9" s="328"/>
      <c r="AL9" s="328"/>
    </row>
    <row r="10" spans="1:39" x14ac:dyDescent="0.25">
      <c r="A10" s="566" t="s">
        <v>965</v>
      </c>
      <c r="B10" s="1227">
        <v>828</v>
      </c>
      <c r="C10" s="1227">
        <v>60</v>
      </c>
      <c r="D10" s="1227">
        <v>0</v>
      </c>
      <c r="E10" s="745">
        <f t="shared" si="0"/>
        <v>888</v>
      </c>
      <c r="F10" s="1227">
        <v>756</v>
      </c>
      <c r="G10" s="1227">
        <v>78</v>
      </c>
      <c r="H10" s="1227">
        <v>0</v>
      </c>
      <c r="I10" s="154">
        <f t="shared" si="1"/>
        <v>834</v>
      </c>
      <c r="J10" s="602">
        <f t="shared" si="2"/>
        <v>-6.0810810810810814E-2</v>
      </c>
      <c r="K10" s="154">
        <v>987</v>
      </c>
      <c r="L10" s="154">
        <v>21</v>
      </c>
      <c r="M10" s="154">
        <v>0</v>
      </c>
      <c r="N10" s="154">
        <f t="shared" si="3"/>
        <v>1008</v>
      </c>
      <c r="O10" s="155">
        <f t="shared" si="7"/>
        <v>0.20863309352517986</v>
      </c>
      <c r="P10" s="512">
        <v>1014</v>
      </c>
      <c r="Q10" s="154">
        <v>48</v>
      </c>
      <c r="R10" s="154">
        <v>0</v>
      </c>
      <c r="S10" s="154">
        <f t="shared" si="4"/>
        <v>1062</v>
      </c>
      <c r="T10" s="602">
        <f t="shared" si="8"/>
        <v>5.3571428571428568E-2</v>
      </c>
      <c r="U10" s="154">
        <v>951</v>
      </c>
      <c r="V10" s="154">
        <v>48</v>
      </c>
      <c r="W10" s="154">
        <v>0</v>
      </c>
      <c r="X10" s="154">
        <f t="shared" si="5"/>
        <v>999</v>
      </c>
      <c r="Y10" s="155">
        <f t="shared" si="9"/>
        <v>-5.9322033898305086E-2</v>
      </c>
      <c r="Z10" s="154">
        <v>651</v>
      </c>
      <c r="AA10" s="154">
        <v>84</v>
      </c>
      <c r="AB10" s="154">
        <v>0</v>
      </c>
      <c r="AC10" s="154">
        <f t="shared" si="6"/>
        <v>735</v>
      </c>
      <c r="AD10" s="567">
        <f t="shared" si="10"/>
        <v>-0.26426426426426425</v>
      </c>
      <c r="AE10" s="328"/>
      <c r="AF10" s="328"/>
      <c r="AG10" s="328"/>
      <c r="AH10" s="328"/>
      <c r="AI10" s="328"/>
      <c r="AJ10" s="328"/>
      <c r="AK10" s="328"/>
      <c r="AL10" s="328"/>
    </row>
    <row r="11" spans="1:39" x14ac:dyDescent="0.25">
      <c r="A11" s="566" t="s">
        <v>966</v>
      </c>
      <c r="B11" s="1227">
        <v>0</v>
      </c>
      <c r="C11" s="1227">
        <v>135</v>
      </c>
      <c r="D11" s="1227">
        <v>0</v>
      </c>
      <c r="E11" s="745">
        <f t="shared" si="0"/>
        <v>135</v>
      </c>
      <c r="F11" s="1227">
        <v>105</v>
      </c>
      <c r="G11" s="1227">
        <v>198</v>
      </c>
      <c r="H11" s="1227">
        <v>0</v>
      </c>
      <c r="I11" s="154">
        <f t="shared" si="1"/>
        <v>303</v>
      </c>
      <c r="J11" s="602">
        <f t="shared" si="2"/>
        <v>1.2444444444444445</v>
      </c>
      <c r="K11" s="154">
        <v>102</v>
      </c>
      <c r="L11" s="154">
        <v>165</v>
      </c>
      <c r="M11" s="154">
        <v>0</v>
      </c>
      <c r="N11" s="154">
        <f t="shared" si="3"/>
        <v>267</v>
      </c>
      <c r="O11" s="155">
        <f t="shared" si="7"/>
        <v>-0.11881188118811881</v>
      </c>
      <c r="P11" s="154">
        <v>90</v>
      </c>
      <c r="Q11" s="154">
        <v>171</v>
      </c>
      <c r="R11" s="154">
        <v>0</v>
      </c>
      <c r="S11" s="154">
        <f t="shared" si="4"/>
        <v>261</v>
      </c>
      <c r="T11" s="602">
        <f t="shared" si="8"/>
        <v>-2.247191011235955E-2</v>
      </c>
      <c r="U11" s="154">
        <v>99</v>
      </c>
      <c r="V11" s="154">
        <v>204</v>
      </c>
      <c r="W11" s="154">
        <v>0</v>
      </c>
      <c r="X11" s="154">
        <f t="shared" si="5"/>
        <v>303</v>
      </c>
      <c r="Y11" s="155">
        <f t="shared" si="9"/>
        <v>0.16091954022988506</v>
      </c>
      <c r="Z11" s="154">
        <v>174</v>
      </c>
      <c r="AA11" s="154">
        <v>204</v>
      </c>
      <c r="AB11" s="154">
        <v>0</v>
      </c>
      <c r="AC11" s="154">
        <f t="shared" si="6"/>
        <v>378</v>
      </c>
      <c r="AD11" s="567">
        <f t="shared" si="10"/>
        <v>0.24752475247524752</v>
      </c>
      <c r="AE11" s="328"/>
      <c r="AF11" s="328"/>
      <c r="AG11" s="328"/>
      <c r="AH11" s="328"/>
      <c r="AI11" s="328"/>
      <c r="AJ11" s="328"/>
      <c r="AK11" s="328"/>
      <c r="AL11" s="328"/>
    </row>
    <row r="12" spans="1:39" x14ac:dyDescent="0.25">
      <c r="A12" s="566" t="s">
        <v>967</v>
      </c>
      <c r="B12" s="1227">
        <v>163</v>
      </c>
      <c r="C12" s="1227">
        <v>165</v>
      </c>
      <c r="D12" s="1227">
        <v>0</v>
      </c>
      <c r="E12" s="745">
        <f t="shared" si="0"/>
        <v>328</v>
      </c>
      <c r="F12" s="1227">
        <v>219</v>
      </c>
      <c r="G12" s="1227">
        <v>132</v>
      </c>
      <c r="H12" s="1227">
        <v>0</v>
      </c>
      <c r="I12" s="154">
        <f t="shared" si="1"/>
        <v>351</v>
      </c>
      <c r="J12" s="602">
        <f t="shared" si="2"/>
        <v>7.0121951219512202E-2</v>
      </c>
      <c r="K12" s="154">
        <v>243</v>
      </c>
      <c r="L12" s="154">
        <v>180</v>
      </c>
      <c r="M12" s="154">
        <v>0</v>
      </c>
      <c r="N12" s="154">
        <f t="shared" si="3"/>
        <v>423</v>
      </c>
      <c r="O12" s="155">
        <f t="shared" si="7"/>
        <v>0.20512820512820512</v>
      </c>
      <c r="P12" s="154">
        <v>280</v>
      </c>
      <c r="Q12" s="154">
        <v>213</v>
      </c>
      <c r="R12" s="154">
        <v>0</v>
      </c>
      <c r="S12" s="154">
        <f t="shared" si="4"/>
        <v>493</v>
      </c>
      <c r="T12" s="602">
        <f t="shared" si="8"/>
        <v>0.16548463356973994</v>
      </c>
      <c r="U12" s="154">
        <v>378</v>
      </c>
      <c r="V12" s="154">
        <v>291</v>
      </c>
      <c r="W12" s="154">
        <v>0</v>
      </c>
      <c r="X12" s="154">
        <f t="shared" si="5"/>
        <v>669</v>
      </c>
      <c r="Y12" s="155">
        <f t="shared" si="9"/>
        <v>0.35699797160243407</v>
      </c>
      <c r="Z12" s="154">
        <v>371</v>
      </c>
      <c r="AA12" s="154">
        <v>288</v>
      </c>
      <c r="AB12" s="154">
        <v>0</v>
      </c>
      <c r="AC12" s="154">
        <f t="shared" si="6"/>
        <v>659</v>
      </c>
      <c r="AD12" s="567">
        <f t="shared" si="10"/>
        <v>-1.4947683109118086E-2</v>
      </c>
      <c r="AE12" s="328"/>
      <c r="AF12" s="328"/>
      <c r="AG12" s="328"/>
      <c r="AH12" s="328"/>
      <c r="AI12" s="328"/>
      <c r="AJ12" s="328"/>
      <c r="AK12" s="328"/>
      <c r="AL12" s="328"/>
    </row>
    <row r="13" spans="1:39" x14ac:dyDescent="0.25">
      <c r="A13" s="566" t="s">
        <v>1553</v>
      </c>
      <c r="B13" s="1227"/>
      <c r="C13" s="1227"/>
      <c r="D13" s="1227"/>
      <c r="E13" s="745"/>
      <c r="F13" s="1227">
        <v>0</v>
      </c>
      <c r="G13" s="1227">
        <v>0</v>
      </c>
      <c r="H13" s="1227">
        <v>0</v>
      </c>
      <c r="I13" s="154">
        <f t="shared" si="1"/>
        <v>0</v>
      </c>
      <c r="J13" s="602" t="str">
        <f t="shared" si="2"/>
        <v>N/A</v>
      </c>
      <c r="K13" s="154">
        <v>0</v>
      </c>
      <c r="L13" s="154">
        <v>0</v>
      </c>
      <c r="M13" s="154">
        <v>0</v>
      </c>
      <c r="N13" s="154">
        <f t="shared" si="3"/>
        <v>0</v>
      </c>
      <c r="O13" s="155" t="str">
        <f t="shared" si="7"/>
        <v>N/A</v>
      </c>
      <c r="P13" s="154">
        <v>0</v>
      </c>
      <c r="Q13" s="154">
        <v>0</v>
      </c>
      <c r="R13" s="154">
        <v>0</v>
      </c>
      <c r="S13" s="154">
        <f t="shared" si="4"/>
        <v>0</v>
      </c>
      <c r="T13" s="602" t="str">
        <f t="shared" si="8"/>
        <v>N/A</v>
      </c>
      <c r="U13" s="154">
        <v>0</v>
      </c>
      <c r="V13" s="154">
        <v>0</v>
      </c>
      <c r="W13" s="154">
        <v>0</v>
      </c>
      <c r="X13" s="154">
        <f t="shared" si="5"/>
        <v>0</v>
      </c>
      <c r="Y13" s="155" t="str">
        <f t="shared" si="9"/>
        <v>N/A</v>
      </c>
      <c r="Z13" s="154">
        <v>4</v>
      </c>
      <c r="AA13" s="154">
        <v>0</v>
      </c>
      <c r="AB13" s="154">
        <v>0</v>
      </c>
      <c r="AC13" s="154">
        <f t="shared" si="6"/>
        <v>4</v>
      </c>
      <c r="AD13" s="567">
        <f t="shared" si="10"/>
        <v>1</v>
      </c>
      <c r="AE13" s="328"/>
      <c r="AF13" s="328"/>
      <c r="AG13" s="328"/>
      <c r="AH13" s="328"/>
      <c r="AI13" s="328"/>
      <c r="AJ13" s="328"/>
      <c r="AK13" s="328"/>
      <c r="AL13" s="328"/>
    </row>
    <row r="14" spans="1:39" x14ac:dyDescent="0.25">
      <c r="A14" s="566" t="s">
        <v>968</v>
      </c>
      <c r="B14" s="1227">
        <v>0</v>
      </c>
      <c r="C14" s="1227">
        <v>417</v>
      </c>
      <c r="D14" s="1227">
        <v>0</v>
      </c>
      <c r="E14" s="745">
        <f t="shared" si="0"/>
        <v>417</v>
      </c>
      <c r="F14" s="1227">
        <v>0</v>
      </c>
      <c r="G14" s="1227">
        <v>498</v>
      </c>
      <c r="H14" s="1227">
        <v>0</v>
      </c>
      <c r="I14" s="154">
        <f t="shared" si="1"/>
        <v>498</v>
      </c>
      <c r="J14" s="602">
        <f t="shared" si="2"/>
        <v>0.19424460431654678</v>
      </c>
      <c r="K14" s="154">
        <v>0</v>
      </c>
      <c r="L14" s="154">
        <v>573</v>
      </c>
      <c r="M14" s="154">
        <v>0</v>
      </c>
      <c r="N14" s="154">
        <f t="shared" si="3"/>
        <v>573</v>
      </c>
      <c r="O14" s="155">
        <f t="shared" si="7"/>
        <v>0.15060240963855423</v>
      </c>
      <c r="P14" s="154">
        <v>0</v>
      </c>
      <c r="Q14" s="154">
        <v>534</v>
      </c>
      <c r="R14" s="154">
        <v>0</v>
      </c>
      <c r="S14" s="154">
        <f t="shared" si="4"/>
        <v>534</v>
      </c>
      <c r="T14" s="602">
        <f t="shared" si="8"/>
        <v>-6.8062827225130892E-2</v>
      </c>
      <c r="U14" s="154">
        <v>0</v>
      </c>
      <c r="V14" s="154">
        <v>513</v>
      </c>
      <c r="W14" s="154">
        <v>0</v>
      </c>
      <c r="X14" s="154">
        <f t="shared" si="5"/>
        <v>513</v>
      </c>
      <c r="Y14" s="155">
        <f t="shared" si="9"/>
        <v>-3.9325842696629212E-2</v>
      </c>
      <c r="Z14" s="154">
        <v>0</v>
      </c>
      <c r="AA14" s="154">
        <v>474</v>
      </c>
      <c r="AB14" s="154">
        <v>0</v>
      </c>
      <c r="AC14" s="154">
        <f t="shared" si="6"/>
        <v>474</v>
      </c>
      <c r="AD14" s="567">
        <f t="shared" si="10"/>
        <v>-7.6023391812865493E-2</v>
      </c>
      <c r="AE14" s="328"/>
      <c r="AF14" s="328"/>
      <c r="AG14" s="328"/>
      <c r="AH14" s="328"/>
      <c r="AI14" s="328"/>
      <c r="AJ14" s="328"/>
      <c r="AK14" s="328"/>
      <c r="AL14" s="328"/>
    </row>
    <row r="15" spans="1:39" x14ac:dyDescent="0.25">
      <c r="A15" s="566" t="s">
        <v>969</v>
      </c>
      <c r="B15" s="1227">
        <v>0</v>
      </c>
      <c r="C15" s="1227">
        <v>162</v>
      </c>
      <c r="D15" s="1227">
        <v>0</v>
      </c>
      <c r="E15" s="745">
        <f t="shared" si="0"/>
        <v>162</v>
      </c>
      <c r="F15" s="1227">
        <v>0</v>
      </c>
      <c r="G15" s="1227">
        <v>249</v>
      </c>
      <c r="H15" s="1227">
        <v>0</v>
      </c>
      <c r="I15" s="154">
        <f t="shared" si="1"/>
        <v>249</v>
      </c>
      <c r="J15" s="602">
        <f t="shared" si="2"/>
        <v>0.53703703703703709</v>
      </c>
      <c r="K15" s="154">
        <v>0</v>
      </c>
      <c r="L15" s="154">
        <v>279</v>
      </c>
      <c r="M15" s="154">
        <v>0</v>
      </c>
      <c r="N15" s="154">
        <f t="shared" si="3"/>
        <v>279</v>
      </c>
      <c r="O15" s="155">
        <f t="shared" si="7"/>
        <v>0.12048192771084337</v>
      </c>
      <c r="P15" s="154">
        <v>0</v>
      </c>
      <c r="Q15" s="154">
        <v>315</v>
      </c>
      <c r="R15" s="154">
        <v>0</v>
      </c>
      <c r="S15" s="154">
        <f t="shared" si="4"/>
        <v>315</v>
      </c>
      <c r="T15" s="602">
        <f t="shared" si="8"/>
        <v>0.12903225806451613</v>
      </c>
      <c r="U15" s="154">
        <v>0</v>
      </c>
      <c r="V15" s="154">
        <v>471</v>
      </c>
      <c r="W15" s="154">
        <v>0</v>
      </c>
      <c r="X15" s="154">
        <f t="shared" si="5"/>
        <v>471</v>
      </c>
      <c r="Y15" s="155">
        <f t="shared" si="9"/>
        <v>0.49523809523809526</v>
      </c>
      <c r="Z15" s="154">
        <v>0</v>
      </c>
      <c r="AA15" s="154">
        <v>285</v>
      </c>
      <c r="AB15" s="154">
        <v>0</v>
      </c>
      <c r="AC15" s="154">
        <f t="shared" si="6"/>
        <v>285</v>
      </c>
      <c r="AD15" s="567">
        <f t="shared" si="10"/>
        <v>-0.39490445859872614</v>
      </c>
      <c r="AE15" s="328"/>
      <c r="AF15" s="328"/>
      <c r="AG15" s="328"/>
      <c r="AH15" s="328"/>
      <c r="AI15" s="328"/>
      <c r="AJ15" s="328"/>
      <c r="AK15" s="328"/>
      <c r="AL15" s="328"/>
    </row>
    <row r="16" spans="1:39" s="575" customFormat="1" ht="13.8" x14ac:dyDescent="0.25">
      <c r="A16" s="570" t="s">
        <v>961</v>
      </c>
      <c r="B16" s="571">
        <f t="shared" ref="B16:I16" si="11">SUM(B7:B15)</f>
        <v>2154</v>
      </c>
      <c r="C16" s="571">
        <f t="shared" si="11"/>
        <v>1848</v>
      </c>
      <c r="D16" s="571">
        <f t="shared" si="11"/>
        <v>0</v>
      </c>
      <c r="E16" s="746">
        <f t="shared" si="11"/>
        <v>4002</v>
      </c>
      <c r="F16" s="571">
        <f t="shared" si="11"/>
        <v>2328</v>
      </c>
      <c r="G16" s="571">
        <f t="shared" si="11"/>
        <v>2149</v>
      </c>
      <c r="H16" s="571">
        <f t="shared" si="11"/>
        <v>0</v>
      </c>
      <c r="I16" s="571">
        <f t="shared" si="11"/>
        <v>4477</v>
      </c>
      <c r="J16" s="730">
        <f t="shared" si="2"/>
        <v>0.11869065467266367</v>
      </c>
      <c r="K16" s="571">
        <f>SUM(K7:K15)</f>
        <v>2562</v>
      </c>
      <c r="L16" s="571">
        <f>SUM(L7:L15)</f>
        <v>2311</v>
      </c>
      <c r="M16" s="571">
        <f>SUM(M7:M15)</f>
        <v>0</v>
      </c>
      <c r="N16" s="571">
        <f>SUM(N7:N15)</f>
        <v>4873</v>
      </c>
      <c r="O16" s="751">
        <f>IF(I16&gt;0,(N16-I16)/I16,(IF(N16=0,"N/A",100%)))</f>
        <v>8.8452088452088448E-2</v>
      </c>
      <c r="P16" s="571">
        <f>SUM(P7:P15)</f>
        <v>2630</v>
      </c>
      <c r="Q16" s="571">
        <f>SUM(Q7:Q15)</f>
        <v>2371</v>
      </c>
      <c r="R16" s="571">
        <f>SUM(R7:R15)</f>
        <v>0</v>
      </c>
      <c r="S16" s="571">
        <f>SUM(S7:S15)</f>
        <v>5001</v>
      </c>
      <c r="T16" s="731">
        <f t="shared" si="8"/>
        <v>2.6267186538066898E-2</v>
      </c>
      <c r="U16" s="571">
        <f>SUM(U7:U15)</f>
        <v>2792</v>
      </c>
      <c r="V16" s="571">
        <f>SUM(V7:V15)</f>
        <v>2790</v>
      </c>
      <c r="W16" s="571">
        <f>SUM(W7:W15)</f>
        <v>0</v>
      </c>
      <c r="X16" s="571">
        <f>SUM(X7:X15)</f>
        <v>5582</v>
      </c>
      <c r="Y16" s="751">
        <f>IF(S16&gt;0,(X16-S16)/S16,(IF(X16=0,"N/A",100%)))</f>
        <v>0.11617676464707058</v>
      </c>
      <c r="Z16" s="571">
        <f>SUM(Z7:Z15)</f>
        <v>2486</v>
      </c>
      <c r="AA16" s="571">
        <f>SUM(AA7:AA15)</f>
        <v>2518</v>
      </c>
      <c r="AB16" s="571">
        <f>SUM(AB7:AB15)</f>
        <v>0</v>
      </c>
      <c r="AC16" s="571">
        <f>SUM(AC7:AC15)</f>
        <v>5004</v>
      </c>
      <c r="AD16" s="574">
        <f>IF(X16&gt;0,(AC16-X16)/X16,(IF(AC16=0,"N/A",100%)))</f>
        <v>-0.10354711572912935</v>
      </c>
    </row>
    <row r="17" spans="1:38" x14ac:dyDescent="0.25">
      <c r="A17" s="576" t="s">
        <v>424</v>
      </c>
      <c r="B17" s="605"/>
      <c r="C17" s="578"/>
      <c r="D17" s="578"/>
      <c r="E17" s="518"/>
      <c r="F17" s="605"/>
      <c r="G17" s="578"/>
      <c r="H17" s="578"/>
      <c r="I17" s="578"/>
      <c r="J17" s="518"/>
      <c r="K17" s="605"/>
      <c r="L17" s="606"/>
      <c r="M17" s="578"/>
      <c r="N17" s="578"/>
      <c r="O17" s="518"/>
      <c r="P17" s="605"/>
      <c r="Q17" s="578"/>
      <c r="R17" s="578"/>
      <c r="S17" s="578"/>
      <c r="T17" s="518"/>
      <c r="U17" s="605"/>
      <c r="V17" s="606"/>
      <c r="W17" s="578"/>
      <c r="X17" s="578"/>
      <c r="Y17" s="518"/>
      <c r="Z17" s="605"/>
      <c r="AA17" s="606"/>
      <c r="AB17" s="578"/>
      <c r="AC17" s="578"/>
      <c r="AD17" s="599"/>
      <c r="AE17" s="328"/>
      <c r="AF17" s="328"/>
      <c r="AG17" s="328"/>
      <c r="AH17" s="328"/>
      <c r="AI17" s="328"/>
      <c r="AJ17" s="328"/>
      <c r="AK17" s="328"/>
      <c r="AL17" s="328"/>
    </row>
    <row r="18" spans="1:38" x14ac:dyDescent="0.25">
      <c r="A18" s="579" t="s">
        <v>989</v>
      </c>
      <c r="B18" s="1229">
        <v>78</v>
      </c>
      <c r="C18" s="1229">
        <v>21</v>
      </c>
      <c r="D18" s="1230">
        <v>0</v>
      </c>
      <c r="E18" s="375">
        <f>SUM(B18:D18)</f>
        <v>99</v>
      </c>
      <c r="F18" s="1229">
        <v>198</v>
      </c>
      <c r="G18" s="1229">
        <v>0</v>
      </c>
      <c r="H18" s="1230">
        <v>0</v>
      </c>
      <c r="I18" s="581">
        <f>SUM(F18:H18)</f>
        <v>198</v>
      </c>
      <c r="J18" s="582">
        <f t="shared" ref="J18:J23" si="12">IF(E18&gt;0,(I18-E18)/E18,(IF(I18=0,"N/A",100%)))</f>
        <v>1</v>
      </c>
      <c r="K18" s="580">
        <v>195</v>
      </c>
      <c r="L18" s="580">
        <v>0</v>
      </c>
      <c r="M18" s="581">
        <v>0</v>
      </c>
      <c r="N18" s="581">
        <f>SUM(K18:M18)</f>
        <v>195</v>
      </c>
      <c r="O18" s="155">
        <f t="shared" ref="O18:O23" si="13">IF(I18&gt;0,(N18-I18)/I18,(IF(N18=0,"N/A",100%)))</f>
        <v>-1.5151515151515152E-2</v>
      </c>
      <c r="P18" s="512">
        <v>210</v>
      </c>
      <c r="Q18" s="580">
        <v>0</v>
      </c>
      <c r="R18" s="581">
        <v>0</v>
      </c>
      <c r="S18" s="581">
        <f>SUM(P18:R18)</f>
        <v>210</v>
      </c>
      <c r="T18" s="602">
        <f t="shared" si="8"/>
        <v>7.6923076923076927E-2</v>
      </c>
      <c r="U18" s="580">
        <v>153</v>
      </c>
      <c r="V18" s="580">
        <v>0</v>
      </c>
      <c r="W18" s="581">
        <v>0</v>
      </c>
      <c r="X18" s="581">
        <f>SUM(U18:W18)</f>
        <v>153</v>
      </c>
      <c r="Y18" s="155">
        <f t="shared" ref="Y18:Y23" si="14">IF(S18&gt;0,(X18-S18)/S18,(IF(X18=0,"N/A",100%)))</f>
        <v>-0.27142857142857141</v>
      </c>
      <c r="Z18" s="580">
        <v>153</v>
      </c>
      <c r="AA18" s="580">
        <v>0</v>
      </c>
      <c r="AB18" s="581">
        <v>0</v>
      </c>
      <c r="AC18" s="581">
        <f>SUM(Z18:AB18)</f>
        <v>153</v>
      </c>
      <c r="AD18" s="567">
        <f t="shared" ref="AD18:AD23" si="15">IF(X18&gt;0,(AC18-X18)/X18,(IF(AC18=0,"N/A",100%)))</f>
        <v>0</v>
      </c>
      <c r="AE18" s="328"/>
      <c r="AF18" s="328"/>
      <c r="AG18" s="328"/>
      <c r="AH18" s="328"/>
      <c r="AI18" s="328"/>
      <c r="AJ18" s="328"/>
      <c r="AK18" s="328"/>
      <c r="AL18" s="328"/>
    </row>
    <row r="19" spans="1:38" x14ac:dyDescent="0.25">
      <c r="A19" s="579" t="s">
        <v>503</v>
      </c>
      <c r="B19" s="1229">
        <v>0</v>
      </c>
      <c r="C19" s="1229">
        <v>111</v>
      </c>
      <c r="D19" s="1230">
        <v>0</v>
      </c>
      <c r="E19" s="375">
        <f>SUM(B19:D19)</f>
        <v>111</v>
      </c>
      <c r="F19" s="1229">
        <v>0</v>
      </c>
      <c r="G19" s="1229">
        <v>75</v>
      </c>
      <c r="H19" s="1230">
        <v>0</v>
      </c>
      <c r="I19" s="581">
        <f>SUM(F19:H19)</f>
        <v>75</v>
      </c>
      <c r="J19" s="582">
        <f t="shared" si="12"/>
        <v>-0.32432432432432434</v>
      </c>
      <c r="K19" s="580">
        <v>0</v>
      </c>
      <c r="L19" s="580">
        <v>66</v>
      </c>
      <c r="M19" s="581">
        <v>0</v>
      </c>
      <c r="N19" s="581">
        <f>SUM(K19:M19)</f>
        <v>66</v>
      </c>
      <c r="O19" s="155">
        <f t="shared" si="13"/>
        <v>-0.12</v>
      </c>
      <c r="P19" s="580">
        <v>0</v>
      </c>
      <c r="Q19" s="580">
        <v>48</v>
      </c>
      <c r="R19" s="581">
        <v>0</v>
      </c>
      <c r="S19" s="581">
        <f>SUM(P19:R19)</f>
        <v>48</v>
      </c>
      <c r="T19" s="602">
        <f t="shared" si="8"/>
        <v>-0.27272727272727271</v>
      </c>
      <c r="U19" s="580">
        <v>0</v>
      </c>
      <c r="V19" s="580">
        <v>30</v>
      </c>
      <c r="W19" s="581">
        <v>0</v>
      </c>
      <c r="X19" s="581">
        <f>SUM(U19:W19)</f>
        <v>30</v>
      </c>
      <c r="Y19" s="155">
        <f t="shared" si="14"/>
        <v>-0.375</v>
      </c>
      <c r="Z19" s="580">
        <v>0</v>
      </c>
      <c r="AA19" s="580">
        <v>57</v>
      </c>
      <c r="AB19" s="581">
        <v>0</v>
      </c>
      <c r="AC19" s="581">
        <f>SUM(Z19:AB19)</f>
        <v>57</v>
      </c>
      <c r="AD19" s="567">
        <f t="shared" si="15"/>
        <v>0.9</v>
      </c>
      <c r="AE19" s="328"/>
      <c r="AF19" s="328"/>
      <c r="AG19" s="328"/>
      <c r="AH19" s="328"/>
      <c r="AI19" s="328"/>
      <c r="AJ19" s="328"/>
      <c r="AK19" s="328"/>
      <c r="AL19" s="328"/>
    </row>
    <row r="20" spans="1:38" x14ac:dyDescent="0.25">
      <c r="A20" s="579" t="s">
        <v>988</v>
      </c>
      <c r="B20" s="1229">
        <v>462</v>
      </c>
      <c r="C20" s="1229">
        <v>567</v>
      </c>
      <c r="D20" s="1230">
        <v>0</v>
      </c>
      <c r="E20" s="375">
        <f>SUM(B20:D20)</f>
        <v>1029</v>
      </c>
      <c r="F20" s="1229">
        <v>555</v>
      </c>
      <c r="G20" s="1229">
        <v>496</v>
      </c>
      <c r="H20" s="1230">
        <v>0</v>
      </c>
      <c r="I20" s="581">
        <f>SUM(F20:H20)</f>
        <v>1051</v>
      </c>
      <c r="J20" s="582">
        <f t="shared" si="12"/>
        <v>2.1379980563654033E-2</v>
      </c>
      <c r="K20" s="580">
        <v>768</v>
      </c>
      <c r="L20" s="580">
        <v>384</v>
      </c>
      <c r="M20" s="581">
        <v>0</v>
      </c>
      <c r="N20" s="581">
        <f>SUM(K20:M20)</f>
        <v>1152</v>
      </c>
      <c r="O20" s="155">
        <f t="shared" si="13"/>
        <v>9.6098953377735497E-2</v>
      </c>
      <c r="P20" s="580">
        <v>678</v>
      </c>
      <c r="Q20" s="580">
        <v>340</v>
      </c>
      <c r="R20" s="581">
        <v>0</v>
      </c>
      <c r="S20" s="581">
        <f>SUM(P20:R20)</f>
        <v>1018</v>
      </c>
      <c r="T20" s="602">
        <f t="shared" si="8"/>
        <v>-0.11631944444444445</v>
      </c>
      <c r="U20" s="580">
        <v>603</v>
      </c>
      <c r="V20" s="580">
        <v>285</v>
      </c>
      <c r="W20" s="581">
        <v>0</v>
      </c>
      <c r="X20" s="581">
        <f>SUM(U20:W20)</f>
        <v>888</v>
      </c>
      <c r="Y20" s="155">
        <f t="shared" si="14"/>
        <v>-0.12770137524557956</v>
      </c>
      <c r="Z20" s="580">
        <v>525</v>
      </c>
      <c r="AA20" s="580">
        <v>254</v>
      </c>
      <c r="AB20" s="581">
        <v>0</v>
      </c>
      <c r="AC20" s="581">
        <f>SUM(Z20:AB20)</f>
        <v>779</v>
      </c>
      <c r="AD20" s="567">
        <f t="shared" si="15"/>
        <v>-0.12274774774774774</v>
      </c>
      <c r="AE20" s="328"/>
      <c r="AF20" s="328"/>
      <c r="AG20" s="328"/>
      <c r="AH20" s="328"/>
      <c r="AI20" s="328"/>
      <c r="AJ20" s="328"/>
      <c r="AK20" s="328"/>
      <c r="AL20" s="328"/>
    </row>
    <row r="21" spans="1:38" x14ac:dyDescent="0.25">
      <c r="A21" s="579" t="s">
        <v>960</v>
      </c>
      <c r="B21" s="1229">
        <v>544</v>
      </c>
      <c r="C21" s="1229">
        <v>564</v>
      </c>
      <c r="D21" s="1230">
        <v>0</v>
      </c>
      <c r="E21" s="375">
        <f>SUM(B21:D21)</f>
        <v>1108</v>
      </c>
      <c r="F21" s="1229">
        <v>705</v>
      </c>
      <c r="G21" s="1229">
        <v>735</v>
      </c>
      <c r="H21" s="1230">
        <v>0</v>
      </c>
      <c r="I21" s="581">
        <f>SUM(F21:H21)</f>
        <v>1440</v>
      </c>
      <c r="J21" s="582">
        <f t="shared" si="12"/>
        <v>0.29963898916967507</v>
      </c>
      <c r="K21" s="580">
        <v>682</v>
      </c>
      <c r="L21" s="580">
        <v>594</v>
      </c>
      <c r="M21" s="581">
        <v>0</v>
      </c>
      <c r="N21" s="581">
        <f>SUM(K21:M21)</f>
        <v>1276</v>
      </c>
      <c r="O21" s="155">
        <f t="shared" si="13"/>
        <v>-0.11388888888888889</v>
      </c>
      <c r="P21" s="580">
        <v>776</v>
      </c>
      <c r="Q21" s="580">
        <v>558</v>
      </c>
      <c r="R21" s="581">
        <v>0</v>
      </c>
      <c r="S21" s="581">
        <f>SUM(P21:R21)</f>
        <v>1334</v>
      </c>
      <c r="T21" s="602">
        <f t="shared" si="8"/>
        <v>4.5454545454545456E-2</v>
      </c>
      <c r="U21" s="580">
        <v>747</v>
      </c>
      <c r="V21" s="580">
        <v>573</v>
      </c>
      <c r="W21" s="581">
        <v>0</v>
      </c>
      <c r="X21" s="581">
        <f>SUM(U21:W21)</f>
        <v>1320</v>
      </c>
      <c r="Y21" s="155">
        <f t="shared" si="14"/>
        <v>-1.0494752623688156E-2</v>
      </c>
      <c r="Z21" s="580">
        <v>763</v>
      </c>
      <c r="AA21" s="580">
        <v>441</v>
      </c>
      <c r="AB21" s="581">
        <v>0</v>
      </c>
      <c r="AC21" s="581">
        <f>SUM(Z21:AB21)</f>
        <v>1204</v>
      </c>
      <c r="AD21" s="567">
        <f t="shared" si="15"/>
        <v>-8.7878787878787876E-2</v>
      </c>
      <c r="AE21" s="328"/>
      <c r="AF21" s="328"/>
      <c r="AG21" s="328"/>
      <c r="AH21" s="328"/>
      <c r="AI21" s="328"/>
      <c r="AJ21" s="328"/>
      <c r="AK21" s="328"/>
      <c r="AL21" s="328"/>
    </row>
    <row r="22" spans="1:38" s="575" customFormat="1" ht="13.8" x14ac:dyDescent="0.25">
      <c r="A22" s="584" t="s">
        <v>961</v>
      </c>
      <c r="B22" s="585">
        <f t="shared" ref="B22:I22" si="16">SUM(B18:B21)</f>
        <v>1084</v>
      </c>
      <c r="C22" s="586">
        <f t="shared" si="16"/>
        <v>1263</v>
      </c>
      <c r="D22" s="586">
        <f t="shared" si="16"/>
        <v>0</v>
      </c>
      <c r="E22" s="587">
        <f t="shared" si="16"/>
        <v>2347</v>
      </c>
      <c r="F22" s="585">
        <f t="shared" si="16"/>
        <v>1458</v>
      </c>
      <c r="G22" s="586">
        <f t="shared" si="16"/>
        <v>1306</v>
      </c>
      <c r="H22" s="586">
        <f t="shared" si="16"/>
        <v>0</v>
      </c>
      <c r="I22" s="586">
        <f t="shared" si="16"/>
        <v>2764</v>
      </c>
      <c r="J22" s="588">
        <f t="shared" si="12"/>
        <v>0.17767362590541116</v>
      </c>
      <c r="K22" s="585">
        <f>SUM(K18:K21)</f>
        <v>1645</v>
      </c>
      <c r="L22" s="585">
        <f>SUM(L18:L21)</f>
        <v>1044</v>
      </c>
      <c r="M22" s="586">
        <f>SUM(M18:M21)</f>
        <v>0</v>
      </c>
      <c r="N22" s="586">
        <f>SUM(N18:N21)</f>
        <v>2689</v>
      </c>
      <c r="O22" s="155">
        <f t="shared" si="13"/>
        <v>-2.7134587554269174E-2</v>
      </c>
      <c r="P22" s="585">
        <f>SUM(P18:P21)</f>
        <v>1664</v>
      </c>
      <c r="Q22" s="586">
        <f>SUM(Q18:Q21)</f>
        <v>946</v>
      </c>
      <c r="R22" s="586">
        <f>SUM(R18:R21)</f>
        <v>0</v>
      </c>
      <c r="S22" s="586">
        <f>SUM(S18:S21)</f>
        <v>2610</v>
      </c>
      <c r="T22" s="731">
        <f t="shared" si="8"/>
        <v>-2.9378951283004835E-2</v>
      </c>
      <c r="U22" s="585">
        <f>SUM(U18:U21)</f>
        <v>1503</v>
      </c>
      <c r="V22" s="585">
        <f>SUM(V18:V21)</f>
        <v>888</v>
      </c>
      <c r="W22" s="586">
        <f>SUM(W18:W21)</f>
        <v>0</v>
      </c>
      <c r="X22" s="586">
        <f>SUM(X18:X21)</f>
        <v>2391</v>
      </c>
      <c r="Y22" s="155">
        <f t="shared" si="14"/>
        <v>-8.39080459770115E-2</v>
      </c>
      <c r="Z22" s="585">
        <f>SUM(Z18:Z21)</f>
        <v>1441</v>
      </c>
      <c r="AA22" s="585">
        <f>SUM(AA18:AA21)</f>
        <v>752</v>
      </c>
      <c r="AB22" s="586">
        <f>SUM(AB18:AB21)</f>
        <v>0</v>
      </c>
      <c r="AC22" s="586">
        <f>SUM(AC18:AC21)</f>
        <v>2193</v>
      </c>
      <c r="AD22" s="567">
        <f t="shared" si="15"/>
        <v>-8.2810539523212046E-2</v>
      </c>
    </row>
    <row r="23" spans="1:38" s="596" customFormat="1" ht="16.2" thickBot="1" x14ac:dyDescent="0.35">
      <c r="A23" s="590" t="s">
        <v>425</v>
      </c>
      <c r="B23" s="591">
        <f t="shared" ref="B23:I23" si="17">+B22+B16</f>
        <v>3238</v>
      </c>
      <c r="C23" s="592">
        <f t="shared" si="17"/>
        <v>3111</v>
      </c>
      <c r="D23" s="592">
        <f t="shared" si="17"/>
        <v>0</v>
      </c>
      <c r="E23" s="593">
        <f t="shared" si="17"/>
        <v>6349</v>
      </c>
      <c r="F23" s="591">
        <f t="shared" si="17"/>
        <v>3786</v>
      </c>
      <c r="G23" s="592">
        <f t="shared" si="17"/>
        <v>3455</v>
      </c>
      <c r="H23" s="592">
        <f t="shared" si="17"/>
        <v>0</v>
      </c>
      <c r="I23" s="592">
        <f t="shared" si="17"/>
        <v>7241</v>
      </c>
      <c r="J23" s="594">
        <f t="shared" si="12"/>
        <v>0.14049456607339739</v>
      </c>
      <c r="K23" s="591">
        <f>+K22+K16</f>
        <v>4207</v>
      </c>
      <c r="L23" s="591">
        <f>+L22+L16</f>
        <v>3355</v>
      </c>
      <c r="M23" s="592">
        <f>+M22+M16</f>
        <v>0</v>
      </c>
      <c r="N23" s="592">
        <f>+N22+N16</f>
        <v>7562</v>
      </c>
      <c r="O23" s="594">
        <f t="shared" si="13"/>
        <v>4.4330893522994061E-2</v>
      </c>
      <c r="P23" s="591">
        <f>+P22+P16</f>
        <v>4294</v>
      </c>
      <c r="Q23" s="592">
        <f>+Q22+Q16</f>
        <v>3317</v>
      </c>
      <c r="R23" s="592">
        <f>+R22+R16</f>
        <v>0</v>
      </c>
      <c r="S23" s="592">
        <f>+S22+S16</f>
        <v>7611</v>
      </c>
      <c r="T23" s="1236">
        <f t="shared" si="8"/>
        <v>6.4797672573393278E-3</v>
      </c>
      <c r="U23" s="591">
        <f>+U22+U16</f>
        <v>4295</v>
      </c>
      <c r="V23" s="591">
        <f>+V22+V16</f>
        <v>3678</v>
      </c>
      <c r="W23" s="592">
        <f>+W22+W16</f>
        <v>0</v>
      </c>
      <c r="X23" s="592">
        <f>+X22+X16</f>
        <v>7973</v>
      </c>
      <c r="Y23" s="594">
        <f t="shared" si="14"/>
        <v>4.7562738142162657E-2</v>
      </c>
      <c r="Z23" s="591">
        <f>+Z22+Z16</f>
        <v>3927</v>
      </c>
      <c r="AA23" s="591">
        <f>+AA22+AA16</f>
        <v>3270</v>
      </c>
      <c r="AB23" s="592">
        <f>+AB22+AB16</f>
        <v>0</v>
      </c>
      <c r="AC23" s="592">
        <f>+AC22+AC16</f>
        <v>7197</v>
      </c>
      <c r="AD23" s="595">
        <f t="shared" si="15"/>
        <v>-9.7328483632258878E-2</v>
      </c>
    </row>
    <row r="24" spans="1:38" ht="13.8" thickTop="1" x14ac:dyDescent="0.25">
      <c r="A24" s="597"/>
      <c r="B24" s="335"/>
      <c r="C24" s="335"/>
      <c r="D24" s="335"/>
      <c r="E24" s="335"/>
      <c r="F24" s="335"/>
      <c r="G24" s="335"/>
      <c r="H24" s="335"/>
      <c r="I24" s="335"/>
      <c r="J24" s="645"/>
      <c r="K24" s="645"/>
      <c r="L24" s="328"/>
      <c r="M24" s="328"/>
      <c r="N24" s="328"/>
      <c r="O24" s="328"/>
      <c r="P24" s="335"/>
      <c r="Q24" s="335"/>
      <c r="R24" s="335"/>
      <c r="S24" s="335"/>
      <c r="T24" s="645"/>
      <c r="U24" s="645"/>
      <c r="V24" s="328"/>
      <c r="W24" s="328"/>
      <c r="X24" s="328"/>
      <c r="Y24" s="328"/>
      <c r="Z24" s="645"/>
      <c r="AA24" s="328"/>
      <c r="AB24" s="328"/>
      <c r="AC24" s="328"/>
      <c r="AD24" s="328"/>
      <c r="AE24" s="328"/>
      <c r="AF24" s="328"/>
      <c r="AG24" s="328"/>
      <c r="AH24" s="328"/>
      <c r="AI24" s="328"/>
      <c r="AJ24" s="328"/>
      <c r="AK24" s="328"/>
      <c r="AL24" s="328"/>
    </row>
    <row r="25" spans="1:38" ht="13.8" thickBot="1" x14ac:dyDescent="0.3">
      <c r="A25" s="597"/>
      <c r="B25" s="335"/>
      <c r="C25" s="335"/>
      <c r="D25" s="335"/>
      <c r="E25" s="335"/>
      <c r="F25" s="335"/>
      <c r="G25" s="335"/>
      <c r="H25" s="335"/>
      <c r="I25" s="335"/>
      <c r="J25" s="598"/>
      <c r="K25" s="328"/>
      <c r="L25" s="328"/>
      <c r="M25" s="328"/>
      <c r="N25" s="328"/>
      <c r="O25" s="328"/>
      <c r="P25" s="335"/>
      <c r="Q25" s="335"/>
      <c r="R25" s="335"/>
      <c r="S25" s="335"/>
      <c r="T25" s="598"/>
      <c r="U25" s="328"/>
      <c r="V25" s="328"/>
      <c r="W25" s="328"/>
      <c r="X25" s="328"/>
      <c r="Y25" s="328"/>
      <c r="Z25" s="328"/>
      <c r="AA25" s="328"/>
      <c r="AB25" s="328"/>
      <c r="AC25" s="328"/>
      <c r="AD25" s="328"/>
      <c r="AE25" s="328"/>
      <c r="AF25" s="328"/>
      <c r="AG25" s="328"/>
      <c r="AH25" s="328"/>
      <c r="AI25" s="328"/>
      <c r="AJ25" s="328"/>
      <c r="AK25" s="328"/>
      <c r="AL25" s="328"/>
    </row>
    <row r="26" spans="1:38" customFormat="1" ht="18.600000000000001" thickTop="1" thickBot="1" x14ac:dyDescent="0.35">
      <c r="A26" s="1736" t="s">
        <v>415</v>
      </c>
      <c r="B26" s="1737"/>
      <c r="C26" s="1737"/>
      <c r="D26" s="1737"/>
      <c r="E26" s="1737"/>
      <c r="F26" s="1737"/>
      <c r="G26" s="1737"/>
      <c r="H26" s="1737"/>
      <c r="I26" s="1737"/>
      <c r="J26" s="1737"/>
      <c r="K26" s="1737"/>
      <c r="L26" s="1737"/>
      <c r="M26" s="1737"/>
      <c r="N26" s="1737"/>
      <c r="O26" s="1737"/>
      <c r="P26" s="1737"/>
      <c r="Q26" s="1737"/>
      <c r="R26" s="1737"/>
      <c r="S26" s="1737"/>
      <c r="T26" s="1737"/>
      <c r="U26" s="1737"/>
      <c r="V26" s="1737"/>
      <c r="W26" s="1737"/>
      <c r="X26" s="1737"/>
      <c r="Y26" s="1737"/>
      <c r="Z26" s="1737"/>
      <c r="AA26" s="1737"/>
      <c r="AB26" s="1737"/>
      <c r="AC26" s="1737"/>
      <c r="AD26" s="1738"/>
    </row>
    <row r="27" spans="1:38" ht="27" thickTop="1" x14ac:dyDescent="0.25">
      <c r="A27" s="1723" t="s">
        <v>952</v>
      </c>
      <c r="B27" s="148" t="s">
        <v>954</v>
      </c>
      <c r="C27" s="148" t="s">
        <v>955</v>
      </c>
      <c r="D27" s="148" t="s">
        <v>956</v>
      </c>
      <c r="E27" s="149" t="s">
        <v>957</v>
      </c>
      <c r="F27" s="148" t="s">
        <v>954</v>
      </c>
      <c r="G27" s="148" t="s">
        <v>955</v>
      </c>
      <c r="H27" s="148" t="s">
        <v>956</v>
      </c>
      <c r="I27" s="150" t="s">
        <v>957</v>
      </c>
      <c r="J27" s="750" t="s">
        <v>958</v>
      </c>
      <c r="K27" s="148" t="s">
        <v>954</v>
      </c>
      <c r="L27" s="148" t="s">
        <v>955</v>
      </c>
      <c r="M27" s="148" t="s">
        <v>956</v>
      </c>
      <c r="N27" s="150" t="s">
        <v>957</v>
      </c>
      <c r="O27" s="750" t="s">
        <v>958</v>
      </c>
      <c r="P27" s="148" t="s">
        <v>954</v>
      </c>
      <c r="Q27" s="148" t="s">
        <v>955</v>
      </c>
      <c r="R27" s="148" t="s">
        <v>956</v>
      </c>
      <c r="S27" s="150" t="s">
        <v>957</v>
      </c>
      <c r="T27" s="750" t="s">
        <v>958</v>
      </c>
      <c r="U27" s="148" t="s">
        <v>954</v>
      </c>
      <c r="V27" s="148" t="s">
        <v>955</v>
      </c>
      <c r="W27" s="148" t="s">
        <v>956</v>
      </c>
      <c r="X27" s="150" t="s">
        <v>957</v>
      </c>
      <c r="Y27" s="750" t="s">
        <v>958</v>
      </c>
      <c r="Z27" s="148" t="s">
        <v>954</v>
      </c>
      <c r="AA27" s="148" t="s">
        <v>955</v>
      </c>
      <c r="AB27" s="148" t="s">
        <v>956</v>
      </c>
      <c r="AC27" s="150" t="s">
        <v>957</v>
      </c>
      <c r="AD27" s="563" t="s">
        <v>958</v>
      </c>
      <c r="AE27" s="328"/>
      <c r="AF27" s="328"/>
      <c r="AG27" s="328"/>
      <c r="AH27" s="329"/>
      <c r="AI27" s="328"/>
      <c r="AJ27" s="328"/>
      <c r="AK27" s="328"/>
      <c r="AL27" s="328"/>
    </row>
    <row r="28" spans="1:38" ht="12.75" customHeight="1" x14ac:dyDescent="0.25">
      <c r="A28" s="1724"/>
      <c r="B28" s="1726" t="s">
        <v>1443</v>
      </c>
      <c r="C28" s="1727"/>
      <c r="D28" s="1727"/>
      <c r="E28" s="1728"/>
      <c r="F28" s="1727" t="s">
        <v>1442</v>
      </c>
      <c r="G28" s="1727"/>
      <c r="H28" s="1727"/>
      <c r="I28" s="1727"/>
      <c r="J28" s="1728"/>
      <c r="K28" s="1727" t="s">
        <v>1393</v>
      </c>
      <c r="L28" s="1727"/>
      <c r="M28" s="1727"/>
      <c r="N28" s="1727"/>
      <c r="O28" s="1728"/>
      <c r="P28" s="1727" t="s">
        <v>1394</v>
      </c>
      <c r="Q28" s="1727"/>
      <c r="R28" s="1727"/>
      <c r="S28" s="1727"/>
      <c r="T28" s="1728"/>
      <c r="U28" s="1727" t="s">
        <v>1395</v>
      </c>
      <c r="V28" s="1727"/>
      <c r="W28" s="1727"/>
      <c r="X28" s="1727"/>
      <c r="Y28" s="1728"/>
      <c r="Z28" s="1727" t="s">
        <v>1552</v>
      </c>
      <c r="AA28" s="1727"/>
      <c r="AB28" s="1727"/>
      <c r="AC28" s="1727"/>
      <c r="AD28" s="1735"/>
      <c r="AE28" s="328"/>
      <c r="AF28" s="328"/>
      <c r="AG28" s="328"/>
      <c r="AH28" s="328"/>
      <c r="AI28" s="328"/>
      <c r="AJ28" s="328"/>
      <c r="AK28" s="328"/>
      <c r="AL28" s="328"/>
    </row>
    <row r="29" spans="1:38" x14ac:dyDescent="0.25">
      <c r="A29" s="576" t="s">
        <v>426</v>
      </c>
      <c r="B29" s="151"/>
      <c r="C29" s="152"/>
      <c r="D29" s="152"/>
      <c r="E29" s="153"/>
      <c r="F29" s="151"/>
      <c r="G29" s="152"/>
      <c r="H29" s="152"/>
      <c r="I29" s="152"/>
      <c r="J29" s="518"/>
      <c r="K29" s="151"/>
      <c r="L29" s="152"/>
      <c r="M29" s="152"/>
      <c r="N29" s="152"/>
      <c r="O29" s="518"/>
      <c r="P29" s="151"/>
      <c r="Q29" s="152"/>
      <c r="R29" s="152"/>
      <c r="S29" s="152"/>
      <c r="T29" s="518"/>
      <c r="U29" s="1395"/>
      <c r="V29" s="1251"/>
      <c r="W29" s="1251"/>
      <c r="X29" s="1251"/>
      <c r="Y29" s="607"/>
      <c r="Z29" s="151"/>
      <c r="AA29" s="152"/>
      <c r="AB29" s="152"/>
      <c r="AC29" s="152"/>
      <c r="AD29" s="599"/>
      <c r="AE29" s="328"/>
      <c r="AF29" s="328"/>
      <c r="AG29" s="328"/>
      <c r="AH29" s="328"/>
      <c r="AI29" s="328"/>
      <c r="AJ29" s="328"/>
      <c r="AK29" s="328"/>
      <c r="AL29" s="328"/>
    </row>
    <row r="30" spans="1:38" x14ac:dyDescent="0.25">
      <c r="A30" s="566" t="s">
        <v>971</v>
      </c>
      <c r="B30" s="1227">
        <v>135</v>
      </c>
      <c r="C30" s="1227">
        <v>310</v>
      </c>
      <c r="D30" s="1227">
        <v>0</v>
      </c>
      <c r="E30" s="745">
        <f t="shared" ref="E30:E37" si="18">SUM(B30:D30)</f>
        <v>445</v>
      </c>
      <c r="F30" s="1227">
        <v>108</v>
      </c>
      <c r="G30" s="1227">
        <v>341</v>
      </c>
      <c r="H30" s="1227">
        <v>0</v>
      </c>
      <c r="I30" s="154">
        <f t="shared" ref="I30:I37" si="19">SUM(F30:H30)</f>
        <v>449</v>
      </c>
      <c r="J30" s="602">
        <f t="shared" ref="J30:J38" si="20">IF(E30&gt;0,(I30-E30)/E30,(IF(I30=0,"N/A",100%)))</f>
        <v>8.988764044943821E-3</v>
      </c>
      <c r="K30" s="154">
        <v>144</v>
      </c>
      <c r="L30" s="154">
        <v>351</v>
      </c>
      <c r="M30" s="154">
        <v>0</v>
      </c>
      <c r="N30" s="154">
        <f t="shared" ref="N30:N37" si="21">SUM(K30:M30)</f>
        <v>495</v>
      </c>
      <c r="O30" s="155">
        <f t="shared" ref="O30:O38" si="22">IF(I30&gt;0,(N30-I30)/I30,(IF(N30=0,"N/A",100%)))</f>
        <v>0.10244988864142539</v>
      </c>
      <c r="P30" s="512">
        <v>96</v>
      </c>
      <c r="Q30" s="154">
        <v>266</v>
      </c>
      <c r="R30" s="154">
        <v>0</v>
      </c>
      <c r="S30" s="154">
        <f t="shared" ref="S30:S37" si="23">SUM(P30:R30)</f>
        <v>362</v>
      </c>
      <c r="T30" s="602">
        <f t="shared" ref="T30:T38" si="24">IF(N30&gt;0,(S30-N30)/N30,(IF(S30=0,"N/A",100%)))</f>
        <v>-0.2686868686868687</v>
      </c>
      <c r="U30" s="980">
        <v>114</v>
      </c>
      <c r="V30" s="980">
        <v>260</v>
      </c>
      <c r="W30" s="980">
        <v>0</v>
      </c>
      <c r="X30" s="980">
        <f t="shared" ref="X30:X37" si="25">SUM(U30:W30)</f>
        <v>374</v>
      </c>
      <c r="Y30" s="155">
        <f t="shared" ref="Y30:Y38" si="26">IF(S30&gt;0,(X30-S30)/S30,(IF(X30=0,"N/A",100%)))</f>
        <v>3.3149171270718231E-2</v>
      </c>
      <c r="Z30" s="154">
        <v>93</v>
      </c>
      <c r="AA30" s="154">
        <v>381</v>
      </c>
      <c r="AB30" s="154">
        <v>0</v>
      </c>
      <c r="AC30" s="581">
        <f t="shared" ref="AC30:AC37" si="27">SUM(Z30:AB30)</f>
        <v>474</v>
      </c>
      <c r="AD30" s="567">
        <f t="shared" ref="AD30:AD38" si="28">IF(X30&gt;0,(AC30-X30)/X30,(IF(AC30=0,"N/A",100%)))</f>
        <v>0.26737967914438504</v>
      </c>
      <c r="AE30" s="328"/>
      <c r="AF30" s="328"/>
      <c r="AG30" s="328"/>
      <c r="AH30" s="328"/>
      <c r="AI30" s="328"/>
      <c r="AJ30" s="328"/>
      <c r="AK30" s="328"/>
      <c r="AL30" s="328"/>
    </row>
    <row r="31" spans="1:38" x14ac:dyDescent="0.25">
      <c r="A31" s="566" t="s">
        <v>972</v>
      </c>
      <c r="B31" s="1227">
        <v>794</v>
      </c>
      <c r="C31" s="1227">
        <v>969.5</v>
      </c>
      <c r="D31" s="1227">
        <v>117</v>
      </c>
      <c r="E31" s="745">
        <f t="shared" si="18"/>
        <v>1880.5</v>
      </c>
      <c r="F31" s="1227">
        <v>832</v>
      </c>
      <c r="G31" s="1227">
        <v>1074</v>
      </c>
      <c r="H31" s="1227">
        <v>231</v>
      </c>
      <c r="I31" s="154">
        <f t="shared" si="19"/>
        <v>2137</v>
      </c>
      <c r="J31" s="602">
        <f t="shared" si="20"/>
        <v>0.13639989364530711</v>
      </c>
      <c r="K31" s="154">
        <v>1015.5</v>
      </c>
      <c r="L31" s="154">
        <v>1107</v>
      </c>
      <c r="M31" s="154">
        <v>123</v>
      </c>
      <c r="N31" s="154">
        <f t="shared" si="21"/>
        <v>2245.5</v>
      </c>
      <c r="O31" s="155">
        <f t="shared" si="22"/>
        <v>5.0772110435189519E-2</v>
      </c>
      <c r="P31" s="512">
        <v>778</v>
      </c>
      <c r="Q31" s="154">
        <v>1207</v>
      </c>
      <c r="R31" s="154">
        <v>231</v>
      </c>
      <c r="S31" s="154">
        <f t="shared" si="23"/>
        <v>2216</v>
      </c>
      <c r="T31" s="602">
        <f t="shared" si="24"/>
        <v>-1.3137385882876865E-2</v>
      </c>
      <c r="U31" s="980">
        <v>803</v>
      </c>
      <c r="V31" s="980">
        <v>1114</v>
      </c>
      <c r="W31" s="980">
        <v>153</v>
      </c>
      <c r="X31" s="980">
        <f t="shared" si="25"/>
        <v>2070</v>
      </c>
      <c r="Y31" s="155">
        <f t="shared" si="26"/>
        <v>-6.5884476534296035E-2</v>
      </c>
      <c r="Z31" s="154">
        <v>795.5</v>
      </c>
      <c r="AA31" s="154">
        <v>1015</v>
      </c>
      <c r="AB31" s="154">
        <v>258</v>
      </c>
      <c r="AC31" s="581">
        <f t="shared" si="27"/>
        <v>2068.5</v>
      </c>
      <c r="AD31" s="567">
        <f t="shared" si="28"/>
        <v>-7.246376811594203E-4</v>
      </c>
      <c r="AE31" s="328"/>
      <c r="AF31" s="328"/>
      <c r="AG31" s="328"/>
      <c r="AH31" s="328"/>
      <c r="AI31" s="328"/>
      <c r="AJ31" s="328"/>
      <c r="AK31" s="328"/>
      <c r="AL31" s="328"/>
    </row>
    <row r="32" spans="1:38" x14ac:dyDescent="0.25">
      <c r="A32" s="566" t="s">
        <v>973</v>
      </c>
      <c r="B32" s="1227">
        <v>0</v>
      </c>
      <c r="C32" s="1227">
        <v>0</v>
      </c>
      <c r="D32" s="1227">
        <v>33</v>
      </c>
      <c r="E32" s="745">
        <f t="shared" si="18"/>
        <v>33</v>
      </c>
      <c r="F32" s="1227">
        <v>0</v>
      </c>
      <c r="G32" s="1227">
        <v>0</v>
      </c>
      <c r="H32" s="1227">
        <v>75</v>
      </c>
      <c r="I32" s="154">
        <f t="shared" si="19"/>
        <v>75</v>
      </c>
      <c r="J32" s="602">
        <f t="shared" si="20"/>
        <v>1.2727272727272727</v>
      </c>
      <c r="K32" s="154">
        <v>0</v>
      </c>
      <c r="L32" s="154">
        <v>0</v>
      </c>
      <c r="M32" s="154">
        <v>0</v>
      </c>
      <c r="N32" s="154">
        <f t="shared" si="21"/>
        <v>0</v>
      </c>
      <c r="O32" s="155">
        <f t="shared" si="22"/>
        <v>-1</v>
      </c>
      <c r="P32" s="154">
        <v>0</v>
      </c>
      <c r="Q32" s="154">
        <v>0</v>
      </c>
      <c r="R32" s="154">
        <v>0</v>
      </c>
      <c r="S32" s="154">
        <f t="shared" si="23"/>
        <v>0</v>
      </c>
      <c r="T32" s="602" t="str">
        <f t="shared" si="24"/>
        <v>N/A</v>
      </c>
      <c r="U32" s="980">
        <v>0</v>
      </c>
      <c r="V32" s="980">
        <v>0</v>
      </c>
      <c r="W32" s="980">
        <v>0</v>
      </c>
      <c r="X32" s="980">
        <f t="shared" si="25"/>
        <v>0</v>
      </c>
      <c r="Y32" s="155" t="str">
        <f t="shared" si="26"/>
        <v>N/A</v>
      </c>
      <c r="Z32" s="154">
        <v>0</v>
      </c>
      <c r="AA32" s="154">
        <v>0</v>
      </c>
      <c r="AB32" s="154">
        <v>0</v>
      </c>
      <c r="AC32" s="581">
        <f t="shared" si="27"/>
        <v>0</v>
      </c>
      <c r="AD32" s="567" t="str">
        <f t="shared" si="28"/>
        <v>N/A</v>
      </c>
      <c r="AE32" s="328"/>
      <c r="AF32" s="328"/>
      <c r="AG32" s="328"/>
      <c r="AH32" s="328"/>
      <c r="AI32" s="328"/>
      <c r="AJ32" s="328"/>
      <c r="AK32" s="328"/>
      <c r="AL32" s="328"/>
    </row>
    <row r="33" spans="1:256" x14ac:dyDescent="0.25">
      <c r="A33" s="979" t="s">
        <v>1405</v>
      </c>
      <c r="B33" s="154">
        <v>0</v>
      </c>
      <c r="C33" s="154">
        <v>0</v>
      </c>
      <c r="D33" s="154">
        <v>0</v>
      </c>
      <c r="E33" s="745">
        <f t="shared" si="18"/>
        <v>0</v>
      </c>
      <c r="F33" s="154">
        <v>0</v>
      </c>
      <c r="G33" s="154">
        <v>0</v>
      </c>
      <c r="H33" s="154">
        <v>0</v>
      </c>
      <c r="I33" s="154">
        <f>SUM(F33:H33)</f>
        <v>0</v>
      </c>
      <c r="J33" s="602" t="str">
        <f>IF(E33&gt;0,(I33-E33)/E33,(IF(I33=0,"N/A",100%)))</f>
        <v>N/A</v>
      </c>
      <c r="K33" s="154">
        <v>0</v>
      </c>
      <c r="L33" s="154">
        <v>0</v>
      </c>
      <c r="M33" s="154">
        <v>0</v>
      </c>
      <c r="N33" s="154">
        <f>SUM(K33:M33)</f>
        <v>0</v>
      </c>
      <c r="O33" s="155" t="str">
        <f>IF(I33&gt;0,(N33-I33)/I33,(IF(N33=0,"N/A",100%)))</f>
        <v>N/A</v>
      </c>
      <c r="P33" s="154">
        <v>0</v>
      </c>
      <c r="Q33" s="154">
        <v>0</v>
      </c>
      <c r="R33" s="154">
        <v>0</v>
      </c>
      <c r="S33" s="154">
        <f t="shared" si="23"/>
        <v>0</v>
      </c>
      <c r="T33" s="602" t="str">
        <f t="shared" si="24"/>
        <v>N/A</v>
      </c>
      <c r="U33" s="980">
        <v>0</v>
      </c>
      <c r="V33" s="980">
        <v>0</v>
      </c>
      <c r="W33" s="980">
        <v>0</v>
      </c>
      <c r="X33" s="980">
        <f t="shared" si="25"/>
        <v>0</v>
      </c>
      <c r="Y33" s="155" t="str">
        <f t="shared" si="26"/>
        <v>N/A</v>
      </c>
      <c r="Z33" s="154">
        <v>0</v>
      </c>
      <c r="AA33" s="154">
        <v>0</v>
      </c>
      <c r="AB33" s="154">
        <v>0</v>
      </c>
      <c r="AC33" s="581">
        <f t="shared" si="27"/>
        <v>0</v>
      </c>
      <c r="AD33" s="567" t="str">
        <f t="shared" si="28"/>
        <v>N/A</v>
      </c>
      <c r="AE33" s="328"/>
      <c r="AF33" s="328"/>
      <c r="AG33" s="328"/>
      <c r="AH33" s="328"/>
      <c r="AI33" s="328"/>
      <c r="AJ33" s="328"/>
      <c r="AK33" s="328"/>
      <c r="AL33" s="328"/>
    </row>
    <row r="34" spans="1:256" x14ac:dyDescent="0.25">
      <c r="A34" s="979" t="s">
        <v>1406</v>
      </c>
      <c r="B34" s="154">
        <v>0</v>
      </c>
      <c r="C34" s="154">
        <v>0</v>
      </c>
      <c r="D34" s="154">
        <v>0</v>
      </c>
      <c r="E34" s="745">
        <f t="shared" si="18"/>
        <v>0</v>
      </c>
      <c r="F34" s="154">
        <v>0</v>
      </c>
      <c r="G34" s="154">
        <v>0</v>
      </c>
      <c r="H34" s="154">
        <v>0</v>
      </c>
      <c r="I34" s="154">
        <f>SUM(F34:H34)</f>
        <v>0</v>
      </c>
      <c r="J34" s="602" t="str">
        <f>IF(E34&gt;0,(I34-E34)/E34,(IF(I34=0,"N/A",100%)))</f>
        <v>N/A</v>
      </c>
      <c r="K34" s="154">
        <v>0</v>
      </c>
      <c r="L34" s="154">
        <v>0</v>
      </c>
      <c r="M34" s="154">
        <v>0</v>
      </c>
      <c r="N34" s="154">
        <f>SUM(K34:M34)</f>
        <v>0</v>
      </c>
      <c r="O34" s="155" t="str">
        <f>IF(I34&gt;0,(N34-I34)/I34,(IF(N34=0,"N/A",100%)))</f>
        <v>N/A</v>
      </c>
      <c r="P34" s="154">
        <v>0</v>
      </c>
      <c r="Q34" s="154">
        <v>0</v>
      </c>
      <c r="R34" s="154">
        <v>0</v>
      </c>
      <c r="S34" s="154">
        <f t="shared" si="23"/>
        <v>0</v>
      </c>
      <c r="T34" s="602" t="str">
        <f t="shared" si="24"/>
        <v>N/A</v>
      </c>
      <c r="U34" s="980">
        <v>0</v>
      </c>
      <c r="V34" s="980">
        <v>0</v>
      </c>
      <c r="W34" s="980">
        <v>0</v>
      </c>
      <c r="X34" s="980">
        <f t="shared" si="25"/>
        <v>0</v>
      </c>
      <c r="Y34" s="155" t="str">
        <f t="shared" si="26"/>
        <v>N/A</v>
      </c>
      <c r="Z34" s="154">
        <v>0</v>
      </c>
      <c r="AA34" s="154">
        <v>0</v>
      </c>
      <c r="AB34" s="154">
        <v>0</v>
      </c>
      <c r="AC34" s="581">
        <f t="shared" si="27"/>
        <v>0</v>
      </c>
      <c r="AD34" s="567" t="str">
        <f t="shared" si="28"/>
        <v>N/A</v>
      </c>
      <c r="AE34" s="328"/>
      <c r="AF34" s="328"/>
      <c r="AG34" s="328"/>
      <c r="AH34" s="328"/>
      <c r="AI34" s="328"/>
      <c r="AJ34" s="328"/>
      <c r="AK34" s="328"/>
      <c r="AL34" s="328"/>
    </row>
    <row r="35" spans="1:256" x14ac:dyDescent="0.25">
      <c r="A35" s="566" t="s">
        <v>1097</v>
      </c>
      <c r="B35" s="1227">
        <v>0</v>
      </c>
      <c r="C35" s="1227">
        <v>51</v>
      </c>
      <c r="D35" s="1227">
        <v>213</v>
      </c>
      <c r="E35" s="745">
        <f t="shared" si="18"/>
        <v>264</v>
      </c>
      <c r="F35" s="1227">
        <v>0</v>
      </c>
      <c r="G35" s="1227">
        <v>87</v>
      </c>
      <c r="H35" s="1227">
        <v>159</v>
      </c>
      <c r="I35" s="154">
        <f t="shared" si="19"/>
        <v>246</v>
      </c>
      <c r="J35" s="602">
        <f t="shared" si="20"/>
        <v>-6.8181818181818177E-2</v>
      </c>
      <c r="K35" s="154">
        <v>0</v>
      </c>
      <c r="L35" s="154">
        <v>60</v>
      </c>
      <c r="M35" s="154">
        <v>201</v>
      </c>
      <c r="N35" s="154">
        <f t="shared" si="21"/>
        <v>261</v>
      </c>
      <c r="O35" s="155">
        <f t="shared" si="22"/>
        <v>6.097560975609756E-2</v>
      </c>
      <c r="P35" s="154">
        <v>0</v>
      </c>
      <c r="Q35" s="154">
        <v>57</v>
      </c>
      <c r="R35" s="154">
        <v>183</v>
      </c>
      <c r="S35" s="154">
        <f t="shared" si="23"/>
        <v>240</v>
      </c>
      <c r="T35" s="602">
        <f t="shared" si="24"/>
        <v>-8.0459770114942528E-2</v>
      </c>
      <c r="U35" s="980">
        <v>0</v>
      </c>
      <c r="V35" s="980">
        <v>63</v>
      </c>
      <c r="W35" s="980">
        <v>207</v>
      </c>
      <c r="X35" s="980">
        <f t="shared" si="25"/>
        <v>270</v>
      </c>
      <c r="Y35" s="155">
        <f t="shared" si="26"/>
        <v>0.125</v>
      </c>
      <c r="Z35" s="154">
        <v>0</v>
      </c>
      <c r="AA35" s="154">
        <v>87</v>
      </c>
      <c r="AB35" s="154">
        <v>180</v>
      </c>
      <c r="AC35" s="581">
        <f t="shared" si="27"/>
        <v>267</v>
      </c>
      <c r="AD35" s="567">
        <f t="shared" si="28"/>
        <v>-1.1111111111111112E-2</v>
      </c>
      <c r="AE35" s="328"/>
      <c r="AF35" s="328"/>
      <c r="AG35" s="328"/>
      <c r="AH35" s="328"/>
      <c r="AI35" s="328"/>
      <c r="AJ35" s="328"/>
      <c r="AK35" s="328"/>
      <c r="AL35" s="328"/>
    </row>
    <row r="36" spans="1:256" x14ac:dyDescent="0.25">
      <c r="A36" s="566" t="s">
        <v>974</v>
      </c>
      <c r="B36" s="1227">
        <v>174</v>
      </c>
      <c r="C36" s="1227">
        <v>175</v>
      </c>
      <c r="D36" s="1227">
        <v>0</v>
      </c>
      <c r="E36" s="745">
        <f t="shared" si="18"/>
        <v>349</v>
      </c>
      <c r="F36" s="1227">
        <v>141</v>
      </c>
      <c r="G36" s="1227">
        <v>49</v>
      </c>
      <c r="H36" s="1227">
        <v>0</v>
      </c>
      <c r="I36" s="154">
        <f t="shared" si="19"/>
        <v>190</v>
      </c>
      <c r="J36" s="602">
        <f t="shared" si="20"/>
        <v>-0.45558739255014324</v>
      </c>
      <c r="K36" s="154">
        <v>195</v>
      </c>
      <c r="L36" s="154">
        <v>106</v>
      </c>
      <c r="M36" s="154">
        <v>0</v>
      </c>
      <c r="N36" s="154">
        <f t="shared" si="21"/>
        <v>301</v>
      </c>
      <c r="O36" s="155">
        <f t="shared" si="22"/>
        <v>0.58421052631578951</v>
      </c>
      <c r="P36" s="154">
        <v>159</v>
      </c>
      <c r="Q36" s="154">
        <v>117</v>
      </c>
      <c r="R36" s="154">
        <v>0</v>
      </c>
      <c r="S36" s="154">
        <f t="shared" si="23"/>
        <v>276</v>
      </c>
      <c r="T36" s="602">
        <f t="shared" si="24"/>
        <v>-8.3056478405315617E-2</v>
      </c>
      <c r="U36" s="980">
        <v>243</v>
      </c>
      <c r="V36" s="980">
        <v>149</v>
      </c>
      <c r="W36" s="980">
        <v>0</v>
      </c>
      <c r="X36" s="980">
        <f t="shared" si="25"/>
        <v>392</v>
      </c>
      <c r="Y36" s="155">
        <f t="shared" si="26"/>
        <v>0.42028985507246375</v>
      </c>
      <c r="Z36" s="154">
        <v>207</v>
      </c>
      <c r="AA36" s="154">
        <v>102</v>
      </c>
      <c r="AB36" s="154">
        <v>0</v>
      </c>
      <c r="AC36" s="581">
        <f t="shared" si="27"/>
        <v>309</v>
      </c>
      <c r="AD36" s="567">
        <f t="shared" si="28"/>
        <v>-0.21173469387755103</v>
      </c>
      <c r="AE36" s="328"/>
      <c r="AF36" s="328"/>
      <c r="AG36" s="328"/>
      <c r="AH36" s="328"/>
      <c r="AI36" s="328"/>
      <c r="AJ36" s="328"/>
      <c r="AK36" s="328"/>
      <c r="AL36" s="328"/>
    </row>
    <row r="37" spans="1:256" x14ac:dyDescent="0.25">
      <c r="A37" s="566" t="s">
        <v>975</v>
      </c>
      <c r="B37" s="1227">
        <v>9</v>
      </c>
      <c r="C37" s="1227">
        <v>0</v>
      </c>
      <c r="D37" s="1227">
        <v>0</v>
      </c>
      <c r="E37" s="745">
        <f t="shared" si="18"/>
        <v>9</v>
      </c>
      <c r="F37" s="1227">
        <v>18</v>
      </c>
      <c r="G37" s="1227">
        <v>20</v>
      </c>
      <c r="H37" s="1227">
        <v>0</v>
      </c>
      <c r="I37" s="154">
        <f t="shared" si="19"/>
        <v>38</v>
      </c>
      <c r="J37" s="602">
        <f t="shared" si="20"/>
        <v>3.2222222222222223</v>
      </c>
      <c r="K37" s="154">
        <v>10</v>
      </c>
      <c r="L37" s="154">
        <v>14</v>
      </c>
      <c r="M37" s="154">
        <v>0</v>
      </c>
      <c r="N37" s="154">
        <f t="shared" si="21"/>
        <v>24</v>
      </c>
      <c r="O37" s="155">
        <f t="shared" si="22"/>
        <v>-0.36842105263157893</v>
      </c>
      <c r="P37" s="154">
        <v>16</v>
      </c>
      <c r="Q37" s="154">
        <v>15</v>
      </c>
      <c r="R37" s="154">
        <v>0</v>
      </c>
      <c r="S37" s="154">
        <f t="shared" si="23"/>
        <v>31</v>
      </c>
      <c r="T37" s="602">
        <f t="shared" si="24"/>
        <v>0.29166666666666669</v>
      </c>
      <c r="U37" s="980">
        <v>21</v>
      </c>
      <c r="V37" s="980">
        <v>12</v>
      </c>
      <c r="W37" s="980">
        <v>0</v>
      </c>
      <c r="X37" s="980">
        <f t="shared" si="25"/>
        <v>33</v>
      </c>
      <c r="Y37" s="155">
        <f t="shared" si="26"/>
        <v>6.4516129032258063E-2</v>
      </c>
      <c r="Z37" s="154">
        <v>24</v>
      </c>
      <c r="AA37" s="154">
        <v>15</v>
      </c>
      <c r="AB37" s="154">
        <v>0</v>
      </c>
      <c r="AC37" s="581">
        <f t="shared" si="27"/>
        <v>39</v>
      </c>
      <c r="AD37" s="567">
        <f t="shared" si="28"/>
        <v>0.18181818181818182</v>
      </c>
      <c r="AE37" s="328"/>
      <c r="AF37" s="328"/>
      <c r="AG37" s="328"/>
      <c r="AH37" s="328"/>
      <c r="AI37" s="328"/>
      <c r="AJ37" s="328"/>
      <c r="AK37" s="328"/>
      <c r="AL37" s="328"/>
    </row>
    <row r="38" spans="1:256" s="575" customFormat="1" ht="13.8" x14ac:dyDescent="0.25">
      <c r="A38" s="641" t="s">
        <v>961</v>
      </c>
      <c r="B38" s="585">
        <f t="shared" ref="B38:I38" si="29">SUM(B30:B37)</f>
        <v>1112</v>
      </c>
      <c r="C38" s="586">
        <f t="shared" si="29"/>
        <v>1505.5</v>
      </c>
      <c r="D38" s="586">
        <f t="shared" si="29"/>
        <v>363</v>
      </c>
      <c r="E38" s="587">
        <f t="shared" si="29"/>
        <v>2980.5</v>
      </c>
      <c r="F38" s="585">
        <f t="shared" si="29"/>
        <v>1099</v>
      </c>
      <c r="G38" s="586">
        <f t="shared" si="29"/>
        <v>1571</v>
      </c>
      <c r="H38" s="586">
        <f t="shared" si="29"/>
        <v>465</v>
      </c>
      <c r="I38" s="586">
        <f t="shared" si="29"/>
        <v>3135</v>
      </c>
      <c r="J38" s="588">
        <f t="shared" si="20"/>
        <v>5.1836940110719675E-2</v>
      </c>
      <c r="K38" s="585">
        <f>SUM(K30:K37)</f>
        <v>1364.5</v>
      </c>
      <c r="L38" s="586">
        <f>SUM(L30:L37)</f>
        <v>1638</v>
      </c>
      <c r="M38" s="586">
        <f>SUM(M30:M37)</f>
        <v>324</v>
      </c>
      <c r="N38" s="586">
        <f>SUM(N30:N37)</f>
        <v>3326.5</v>
      </c>
      <c r="O38" s="613">
        <f t="shared" si="22"/>
        <v>6.1084529505582137E-2</v>
      </c>
      <c r="P38" s="585">
        <f>SUM(P30:P37)</f>
        <v>1049</v>
      </c>
      <c r="Q38" s="586">
        <f>SUM(Q30:Q37)</f>
        <v>1662</v>
      </c>
      <c r="R38" s="586">
        <f>SUM(R30:R37)</f>
        <v>414</v>
      </c>
      <c r="S38" s="586">
        <f>SUM(S30:S37)</f>
        <v>3125</v>
      </c>
      <c r="T38" s="731">
        <f t="shared" si="24"/>
        <v>-6.0574177062979108E-2</v>
      </c>
      <c r="U38" s="1273">
        <f>SUM(U30:U37)</f>
        <v>1181</v>
      </c>
      <c r="V38" s="1273">
        <f>SUM(V30:V37)</f>
        <v>1598</v>
      </c>
      <c r="W38" s="1273">
        <f>SUM(W30:W37)</f>
        <v>360</v>
      </c>
      <c r="X38" s="1273">
        <f>SUM(X30:X37)</f>
        <v>3139</v>
      </c>
      <c r="Y38" s="613">
        <f t="shared" si="26"/>
        <v>4.4799999999999996E-3</v>
      </c>
      <c r="Z38" s="585">
        <f>SUM(Z30:Z37)</f>
        <v>1119.5</v>
      </c>
      <c r="AA38" s="586">
        <f>SUM(AA30:AA37)</f>
        <v>1600</v>
      </c>
      <c r="AB38" s="586">
        <f>SUM(AB30:AB37)</f>
        <v>438</v>
      </c>
      <c r="AC38" s="586">
        <f>SUM(AC30:AC37)</f>
        <v>3157.5</v>
      </c>
      <c r="AD38" s="614">
        <f t="shared" si="28"/>
        <v>5.8935966868429437E-3</v>
      </c>
    </row>
    <row r="39" spans="1:256" x14ac:dyDescent="0.25">
      <c r="A39" s="576" t="s">
        <v>427</v>
      </c>
      <c r="B39" s="605"/>
      <c r="C39" s="578"/>
      <c r="D39" s="578"/>
      <c r="E39" s="518"/>
      <c r="F39" s="605"/>
      <c r="G39" s="578"/>
      <c r="H39" s="578"/>
      <c r="I39" s="578"/>
      <c r="J39" s="518"/>
      <c r="K39" s="605"/>
      <c r="L39" s="578"/>
      <c r="M39" s="578"/>
      <c r="N39" s="578"/>
      <c r="O39" s="518"/>
      <c r="P39" s="605"/>
      <c r="Q39" s="578"/>
      <c r="R39" s="578"/>
      <c r="S39" s="578"/>
      <c r="T39" s="518"/>
      <c r="U39" s="1284"/>
      <c r="V39" s="1248"/>
      <c r="W39" s="1248"/>
      <c r="X39" s="1248"/>
      <c r="Y39" s="607"/>
      <c r="Z39" s="605"/>
      <c r="AA39" s="578"/>
      <c r="AB39" s="578"/>
      <c r="AC39" s="578"/>
      <c r="AD39" s="599"/>
      <c r="AE39" s="328"/>
      <c r="AF39" s="328"/>
      <c r="AG39" s="328"/>
      <c r="AH39" s="328"/>
      <c r="AI39" s="328"/>
      <c r="AJ39" s="328"/>
      <c r="AK39" s="328"/>
      <c r="AL39" s="328"/>
    </row>
    <row r="40" spans="1:256" x14ac:dyDescent="0.25">
      <c r="A40" s="603" t="s">
        <v>1005</v>
      </c>
      <c r="B40" s="1229">
        <v>1756</v>
      </c>
      <c r="C40" s="1230">
        <v>725</v>
      </c>
      <c r="D40" s="1230">
        <v>0</v>
      </c>
      <c r="E40" s="375">
        <f>SUM(B40:D40)</f>
        <v>2481</v>
      </c>
      <c r="F40" s="1229">
        <v>1999</v>
      </c>
      <c r="G40" s="1230">
        <v>851</v>
      </c>
      <c r="H40" s="1230">
        <v>0</v>
      </c>
      <c r="I40" s="581">
        <f>SUM(F40:H40)</f>
        <v>2850</v>
      </c>
      <c r="J40" s="582">
        <f>IF(E40&gt;0,(I40-E40)/E40,(IF(I40=0,"N/A",100%)))</f>
        <v>0.14873035066505441</v>
      </c>
      <c r="K40" s="580">
        <v>1894</v>
      </c>
      <c r="L40" s="581">
        <v>939</v>
      </c>
      <c r="M40" s="581">
        <v>0</v>
      </c>
      <c r="N40" s="581">
        <f>SUM(K40:M40)</f>
        <v>2833</v>
      </c>
      <c r="O40" s="155">
        <f>IF(I40&gt;0,(N40-I40)/I40,(IF(N40=0,"N/A",100%)))</f>
        <v>-5.9649122807017545E-3</v>
      </c>
      <c r="P40" s="580">
        <v>2111</v>
      </c>
      <c r="Q40" s="581">
        <v>1120</v>
      </c>
      <c r="R40" s="581">
        <v>0</v>
      </c>
      <c r="S40" s="581">
        <f>SUM(P40:R40)</f>
        <v>3231</v>
      </c>
      <c r="T40" s="602">
        <f>IF(N40&gt;0,(S40-N40)/N40,(IF(S40=0,"N/A",100%)))</f>
        <v>0.14048711613130957</v>
      </c>
      <c r="U40" s="1271">
        <v>1912</v>
      </c>
      <c r="V40" s="1271">
        <v>1041</v>
      </c>
      <c r="W40" s="1271">
        <v>3</v>
      </c>
      <c r="X40" s="1271">
        <f>SUM(U40:W40)</f>
        <v>2956</v>
      </c>
      <c r="Y40" s="155">
        <f>IF(S40&gt;0,(X40-S40)/S40,(IF(X40=0,"N/A",100%)))</f>
        <v>-8.511296812132467E-2</v>
      </c>
      <c r="Z40" s="580">
        <v>1987</v>
      </c>
      <c r="AA40" s="581">
        <v>1082</v>
      </c>
      <c r="AB40" s="581">
        <v>6</v>
      </c>
      <c r="AC40" s="581">
        <f>SUM(Z40:AB40)</f>
        <v>3075</v>
      </c>
      <c r="AD40" s="567">
        <f>IF(X40&gt;0,(AC40-X40)/X40,(IF(AC40=0,"N/A",100%)))</f>
        <v>4.0257104194857916E-2</v>
      </c>
      <c r="AE40" s="328"/>
      <c r="AF40" s="328"/>
      <c r="AG40" s="328"/>
      <c r="AH40" s="328"/>
      <c r="AI40" s="328"/>
      <c r="AJ40" s="328"/>
      <c r="AK40" s="328"/>
      <c r="AL40" s="328"/>
    </row>
    <row r="41" spans="1:256" x14ac:dyDescent="0.25">
      <c r="A41" s="576" t="s">
        <v>417</v>
      </c>
      <c r="B41" s="1231"/>
      <c r="C41" s="1232"/>
      <c r="D41" s="1232"/>
      <c r="E41" s="518"/>
      <c r="F41" s="1231"/>
      <c r="G41" s="1232"/>
      <c r="H41" s="1232"/>
      <c r="I41" s="578"/>
      <c r="J41" s="518"/>
      <c r="K41" s="605"/>
      <c r="L41" s="578"/>
      <c r="M41" s="578"/>
      <c r="N41" s="578"/>
      <c r="O41" s="518"/>
      <c r="P41" s="605"/>
      <c r="Q41" s="578"/>
      <c r="R41" s="578"/>
      <c r="S41" s="578"/>
      <c r="T41" s="518"/>
      <c r="U41" s="1284"/>
      <c r="V41" s="1248"/>
      <c r="W41" s="1248"/>
      <c r="X41" s="1248"/>
      <c r="Y41" s="607"/>
      <c r="Z41" s="605"/>
      <c r="AA41" s="578"/>
      <c r="AB41" s="578"/>
      <c r="AC41" s="578"/>
      <c r="AD41" s="599"/>
      <c r="AE41" s="328"/>
      <c r="AF41" s="328"/>
      <c r="AG41" s="328"/>
      <c r="AH41" s="328"/>
      <c r="AI41" s="328"/>
      <c r="AJ41" s="328"/>
      <c r="AK41" s="328"/>
      <c r="AL41" s="328"/>
    </row>
    <row r="42" spans="1:256" x14ac:dyDescent="0.25">
      <c r="A42" s="566" t="s">
        <v>959</v>
      </c>
      <c r="B42" s="1229">
        <v>892</v>
      </c>
      <c r="C42" s="1230">
        <v>711</v>
      </c>
      <c r="D42" s="1230">
        <v>0</v>
      </c>
      <c r="E42" s="375">
        <f>SUM(B42:D42)</f>
        <v>1603</v>
      </c>
      <c r="F42" s="1229">
        <v>681</v>
      </c>
      <c r="G42" s="1230">
        <v>708</v>
      </c>
      <c r="H42" s="1230">
        <v>0</v>
      </c>
      <c r="I42" s="581">
        <f>SUM(F42:H42)</f>
        <v>1389</v>
      </c>
      <c r="J42" s="582">
        <f>IF(E42&gt;0,(I42-E42)/E42,(IF(I42=0,"N/A",100%)))</f>
        <v>-0.13349968808484092</v>
      </c>
      <c r="K42" s="580">
        <v>837</v>
      </c>
      <c r="L42" s="581">
        <v>800</v>
      </c>
      <c r="M42" s="581">
        <v>0</v>
      </c>
      <c r="N42" s="581">
        <f>SUM(K42:M42)</f>
        <v>1637</v>
      </c>
      <c r="O42" s="155">
        <f>IF(I42&gt;0,(N42-I42)/I42,(IF(N42=0,"N/A",100%)))</f>
        <v>0.17854571634269259</v>
      </c>
      <c r="P42" s="580">
        <v>1212</v>
      </c>
      <c r="Q42" s="581">
        <v>702</v>
      </c>
      <c r="R42" s="581">
        <v>0</v>
      </c>
      <c r="S42" s="581">
        <f>SUM(P42:R42)</f>
        <v>1914</v>
      </c>
      <c r="T42" s="602">
        <f>IF(N42&gt;0,(S42-N42)/N42,(IF(S42=0,"N/A",100%)))</f>
        <v>0.16921197312156383</v>
      </c>
      <c r="U42" s="1271">
        <v>1313</v>
      </c>
      <c r="V42" s="1271">
        <v>618</v>
      </c>
      <c r="W42" s="1271">
        <v>0</v>
      </c>
      <c r="X42" s="1271">
        <f>SUM(U42:W42)</f>
        <v>1931</v>
      </c>
      <c r="Y42" s="155">
        <f>IF(S42&gt;0,(X42-S42)/S42,(IF(X42=0,"N/A",100%)))</f>
        <v>8.881922675026124E-3</v>
      </c>
      <c r="Z42" s="580">
        <v>1096</v>
      </c>
      <c r="AA42" s="581">
        <v>799</v>
      </c>
      <c r="AB42" s="581">
        <v>0</v>
      </c>
      <c r="AC42" s="581">
        <f>SUM(Z42:AB42)</f>
        <v>1895</v>
      </c>
      <c r="AD42" s="567">
        <f>IF(X42&gt;0,(AC42-X42)/X42,(IF(AC42=0,"N/A",100%)))</f>
        <v>-1.8643190056965304E-2</v>
      </c>
      <c r="AE42" s="328"/>
      <c r="AF42" s="328"/>
      <c r="AG42" s="328"/>
      <c r="AH42" s="328"/>
      <c r="AI42" s="328"/>
      <c r="AJ42" s="328"/>
      <c r="AK42" s="328"/>
      <c r="AL42" s="328"/>
    </row>
    <row r="43" spans="1:256" s="596" customFormat="1" ht="16.2" thickBot="1" x14ac:dyDescent="0.35">
      <c r="A43" s="590" t="s">
        <v>418</v>
      </c>
      <c r="B43" s="591">
        <f t="shared" ref="B43:I43" si="30">B42+B40+B38</f>
        <v>3760</v>
      </c>
      <c r="C43" s="591">
        <f t="shared" si="30"/>
        <v>2941.5</v>
      </c>
      <c r="D43" s="591">
        <f t="shared" si="30"/>
        <v>363</v>
      </c>
      <c r="E43" s="747">
        <f t="shared" si="30"/>
        <v>7064.5</v>
      </c>
      <c r="F43" s="591">
        <f t="shared" si="30"/>
        <v>3779</v>
      </c>
      <c r="G43" s="591">
        <f t="shared" si="30"/>
        <v>3130</v>
      </c>
      <c r="H43" s="591">
        <f t="shared" si="30"/>
        <v>465</v>
      </c>
      <c r="I43" s="591">
        <f t="shared" si="30"/>
        <v>7374</v>
      </c>
      <c r="J43" s="594">
        <f>IF(E43&gt;0,(I43-E43)/E43,(IF(I43=0,"N/A",100%)))</f>
        <v>4.3810602307311201E-2</v>
      </c>
      <c r="K43" s="591">
        <f>K42+K40+K38</f>
        <v>4095.5</v>
      </c>
      <c r="L43" s="591">
        <f>L42+L40+L38</f>
        <v>3377</v>
      </c>
      <c r="M43" s="591">
        <f>M42+M40+M38</f>
        <v>324</v>
      </c>
      <c r="N43" s="591">
        <f>N42+N40+N38</f>
        <v>7796.5</v>
      </c>
      <c r="O43" s="594">
        <f>IF(I43&gt;0,(N43-I43)/I43,(IF(N43=0,"N/A",100%)))</f>
        <v>5.7295904529427719E-2</v>
      </c>
      <c r="P43" s="591">
        <f>P42+P40+P38</f>
        <v>4372</v>
      </c>
      <c r="Q43" s="591">
        <f>Q42+Q40+Q38</f>
        <v>3484</v>
      </c>
      <c r="R43" s="591">
        <f>R42+R40+R38</f>
        <v>414</v>
      </c>
      <c r="S43" s="591">
        <f>S42+S40+S38</f>
        <v>8270</v>
      </c>
      <c r="T43" s="594">
        <f>IF(N43&gt;0,(S43-N43)/N43,(IF(S43=0,"N/A",100%)))</f>
        <v>6.0732379914064001E-2</v>
      </c>
      <c r="U43" s="1252">
        <f>U42+U40+U38</f>
        <v>4406</v>
      </c>
      <c r="V43" s="1252">
        <f>V42+V40+V38</f>
        <v>3257</v>
      </c>
      <c r="W43" s="1252">
        <f>W42+W40+W38</f>
        <v>363</v>
      </c>
      <c r="X43" s="1252">
        <f>X42+X40+X38</f>
        <v>8026</v>
      </c>
      <c r="Y43" s="642">
        <f>IF(S43&gt;0,(X43-S43)/S43,(IF(X43=0,"N/A",100%)))</f>
        <v>-2.950423216444982E-2</v>
      </c>
      <c r="Z43" s="591">
        <f>Z42+Z40+Z38</f>
        <v>4202.5</v>
      </c>
      <c r="AA43" s="591">
        <f>AA42+AA40+AA38</f>
        <v>3481</v>
      </c>
      <c r="AB43" s="591">
        <f>AB42+AB40+AB38</f>
        <v>444</v>
      </c>
      <c r="AC43" s="591">
        <f>AC42+AC40+AC38</f>
        <v>8127.5</v>
      </c>
      <c r="AD43" s="595">
        <f>IF(X43&gt;0,(AC43-X43)/X43,(IF(AC43=0,"N/A",100%)))</f>
        <v>1.2646399202591578E-2</v>
      </c>
    </row>
    <row r="44" spans="1:256" ht="14.25" customHeight="1" thickTop="1" x14ac:dyDescent="0.25">
      <c r="A44" s="604"/>
      <c r="B44" s="335"/>
      <c r="C44" s="335"/>
      <c r="D44" s="335"/>
      <c r="E44" s="335"/>
      <c r="F44" s="335"/>
      <c r="G44" s="335"/>
      <c r="H44" s="335"/>
      <c r="I44" s="335"/>
      <c r="J44" s="328"/>
      <c r="K44" s="328"/>
      <c r="L44" s="328"/>
      <c r="M44" s="328"/>
      <c r="N44" s="328"/>
      <c r="O44" s="328"/>
      <c r="P44" s="335"/>
      <c r="Q44" s="335"/>
      <c r="R44" s="335"/>
      <c r="S44" s="335"/>
      <c r="T44" s="328"/>
      <c r="U44" s="328"/>
      <c r="V44" s="328"/>
      <c r="W44" s="328"/>
      <c r="X44" s="328"/>
      <c r="Y44" s="328"/>
      <c r="Z44" s="328"/>
      <c r="AA44" s="328"/>
      <c r="AB44" s="328"/>
      <c r="AC44" s="328"/>
      <c r="AD44" s="328"/>
      <c r="AE44" s="328"/>
      <c r="AF44" s="328"/>
      <c r="AG44" s="328"/>
      <c r="AH44" s="328"/>
      <c r="AI44" s="328"/>
      <c r="AJ44" s="328"/>
      <c r="AK44" s="328"/>
      <c r="AL44" s="328"/>
    </row>
    <row r="45" spans="1:256" ht="14.25" customHeight="1" thickBot="1" x14ac:dyDescent="0.3">
      <c r="A45" s="604"/>
      <c r="B45" s="335"/>
      <c r="C45" s="335"/>
      <c r="D45" s="335"/>
      <c r="E45" s="335"/>
      <c r="F45" s="335"/>
      <c r="G45" s="335"/>
      <c r="H45" s="335"/>
      <c r="I45" s="335"/>
      <c r="J45" s="328"/>
      <c r="K45" s="328"/>
      <c r="L45" s="328"/>
      <c r="M45" s="328"/>
      <c r="N45" s="328"/>
      <c r="O45" s="328"/>
      <c r="P45" s="335"/>
      <c r="Q45" s="335"/>
      <c r="R45" s="335"/>
      <c r="S45" s="335"/>
      <c r="T45" s="328"/>
      <c r="U45" s="328"/>
      <c r="V45" s="328"/>
      <c r="W45" s="328"/>
      <c r="X45" s="328"/>
      <c r="Y45" s="328"/>
      <c r="Z45" s="328"/>
      <c r="AA45" s="328"/>
      <c r="AB45" s="328"/>
      <c r="AC45" s="328"/>
      <c r="AD45" s="328"/>
      <c r="AE45" s="328"/>
      <c r="AF45" s="328"/>
      <c r="AG45" s="328"/>
      <c r="AH45" s="328"/>
      <c r="AI45" s="328"/>
      <c r="AJ45" s="328"/>
      <c r="AK45" s="328"/>
      <c r="AL45" s="328"/>
    </row>
    <row r="46" spans="1:256" customFormat="1" ht="18.600000000000001" thickTop="1" thickBot="1" x14ac:dyDescent="0.35">
      <c r="A46" s="1736" t="s">
        <v>407</v>
      </c>
      <c r="B46" s="1737"/>
      <c r="C46" s="1737"/>
      <c r="D46" s="1737"/>
      <c r="E46" s="1737"/>
      <c r="F46" s="1737"/>
      <c r="G46" s="1737"/>
      <c r="H46" s="1737"/>
      <c r="I46" s="1737"/>
      <c r="J46" s="1737"/>
      <c r="K46" s="1737"/>
      <c r="L46" s="1737"/>
      <c r="M46" s="1737"/>
      <c r="N46" s="1737"/>
      <c r="O46" s="1737"/>
      <c r="P46" s="1737"/>
      <c r="Q46" s="1737"/>
      <c r="R46" s="1737"/>
      <c r="S46" s="1737"/>
      <c r="T46" s="1737"/>
      <c r="U46" s="1737"/>
      <c r="V46" s="1737"/>
      <c r="W46" s="1737"/>
      <c r="X46" s="1737"/>
      <c r="Y46" s="1737"/>
      <c r="Z46" s="1737"/>
      <c r="AA46" s="1737"/>
      <c r="AB46" s="1737"/>
      <c r="AC46" s="1737"/>
      <c r="AD46" s="1738"/>
    </row>
    <row r="47" spans="1:256" ht="27" thickTop="1" x14ac:dyDescent="0.25">
      <c r="A47" s="1723" t="s">
        <v>952</v>
      </c>
      <c r="B47" s="148" t="s">
        <v>954</v>
      </c>
      <c r="C47" s="148" t="s">
        <v>955</v>
      </c>
      <c r="D47" s="148" t="s">
        <v>956</v>
      </c>
      <c r="E47" s="149" t="s">
        <v>957</v>
      </c>
      <c r="F47" s="148" t="s">
        <v>954</v>
      </c>
      <c r="G47" s="148" t="s">
        <v>955</v>
      </c>
      <c r="H47" s="148" t="s">
        <v>956</v>
      </c>
      <c r="I47" s="150" t="s">
        <v>957</v>
      </c>
      <c r="J47" s="750" t="s">
        <v>958</v>
      </c>
      <c r="K47" s="1243" t="s">
        <v>954</v>
      </c>
      <c r="L47" s="1244" t="s">
        <v>955</v>
      </c>
      <c r="M47" s="1244" t="s">
        <v>956</v>
      </c>
      <c r="N47" s="1245" t="s">
        <v>957</v>
      </c>
      <c r="O47" s="1246" t="s">
        <v>958</v>
      </c>
      <c r="P47" s="148" t="s">
        <v>954</v>
      </c>
      <c r="Q47" s="148" t="s">
        <v>955</v>
      </c>
      <c r="R47" s="148" t="s">
        <v>956</v>
      </c>
      <c r="S47" s="150" t="s">
        <v>957</v>
      </c>
      <c r="T47" s="750" t="s">
        <v>958</v>
      </c>
      <c r="U47" s="148" t="s">
        <v>954</v>
      </c>
      <c r="V47" s="148" t="s">
        <v>955</v>
      </c>
      <c r="W47" s="148" t="s">
        <v>956</v>
      </c>
      <c r="X47" s="150" t="s">
        <v>957</v>
      </c>
      <c r="Y47" s="750" t="s">
        <v>958</v>
      </c>
      <c r="Z47" s="148" t="s">
        <v>954</v>
      </c>
      <c r="AA47" s="148" t="s">
        <v>955</v>
      </c>
      <c r="AB47" s="148" t="s">
        <v>956</v>
      </c>
      <c r="AC47" s="150" t="s">
        <v>957</v>
      </c>
      <c r="AD47" s="563" t="s">
        <v>958</v>
      </c>
      <c r="AE47" s="328"/>
      <c r="AF47" s="328"/>
      <c r="AG47" s="328"/>
      <c r="AH47" s="328"/>
      <c r="AI47" s="328"/>
      <c r="AJ47" s="328"/>
      <c r="AK47" s="328"/>
      <c r="AL47" s="328"/>
      <c r="AM47" s="328"/>
      <c r="AN47" s="328"/>
      <c r="AO47" s="328"/>
      <c r="AP47" s="328"/>
      <c r="AQ47" s="328"/>
      <c r="AR47" s="328"/>
      <c r="AS47" s="328"/>
      <c r="AT47" s="328"/>
      <c r="AU47" s="328"/>
      <c r="AV47" s="328"/>
      <c r="AW47" s="328"/>
      <c r="AX47" s="328"/>
      <c r="AY47" s="328"/>
      <c r="AZ47" s="328"/>
      <c r="BA47" s="328"/>
      <c r="BB47" s="328"/>
      <c r="BC47" s="328"/>
      <c r="BD47" s="328"/>
      <c r="BE47" s="328"/>
      <c r="BF47" s="328"/>
      <c r="BG47" s="328"/>
      <c r="BH47" s="328"/>
      <c r="BI47" s="328"/>
      <c r="BJ47" s="328"/>
      <c r="BK47" s="328"/>
      <c r="BL47" s="328"/>
      <c r="BM47" s="328"/>
      <c r="BN47" s="328"/>
      <c r="BO47" s="328"/>
      <c r="BP47" s="328"/>
      <c r="BQ47" s="328"/>
      <c r="BR47" s="328"/>
      <c r="BS47" s="328"/>
      <c r="BT47" s="328"/>
      <c r="BU47" s="328"/>
      <c r="BV47" s="328"/>
      <c r="BW47" s="328"/>
      <c r="BX47" s="328"/>
      <c r="BY47" s="328"/>
      <c r="BZ47" s="328"/>
      <c r="CA47" s="328"/>
      <c r="CB47" s="328"/>
      <c r="CC47" s="328"/>
      <c r="CD47" s="328"/>
      <c r="CE47" s="328"/>
      <c r="CF47" s="328"/>
      <c r="CG47" s="328"/>
      <c r="CH47" s="328"/>
      <c r="CI47" s="328"/>
      <c r="CJ47" s="328"/>
      <c r="CK47" s="328"/>
      <c r="CL47" s="328"/>
      <c r="CM47" s="328"/>
      <c r="CN47" s="328"/>
      <c r="CO47" s="328"/>
      <c r="CP47" s="328"/>
      <c r="CQ47" s="328"/>
      <c r="CR47" s="328"/>
      <c r="CS47" s="328"/>
      <c r="CT47" s="328"/>
      <c r="CU47" s="328"/>
      <c r="CV47" s="328"/>
      <c r="CW47" s="328"/>
      <c r="CX47" s="328"/>
      <c r="CY47" s="328"/>
      <c r="CZ47" s="328"/>
      <c r="DA47" s="328"/>
      <c r="DB47" s="328"/>
      <c r="DC47" s="328"/>
      <c r="DD47" s="328"/>
      <c r="DE47" s="328"/>
      <c r="DF47" s="328"/>
      <c r="DG47" s="328"/>
      <c r="DH47" s="328"/>
      <c r="DI47" s="328"/>
      <c r="DJ47" s="328"/>
      <c r="DK47" s="328"/>
      <c r="DL47" s="328"/>
      <c r="DM47" s="328"/>
      <c r="DN47" s="328"/>
      <c r="DO47" s="328"/>
      <c r="DP47" s="328"/>
      <c r="DQ47" s="328"/>
      <c r="DR47" s="328"/>
      <c r="DS47" s="328"/>
      <c r="DT47" s="328"/>
      <c r="DU47" s="328"/>
      <c r="DV47" s="328"/>
      <c r="DW47" s="328"/>
      <c r="DX47" s="328"/>
      <c r="DY47" s="328"/>
      <c r="DZ47" s="328"/>
      <c r="EA47" s="328"/>
      <c r="EB47" s="328"/>
      <c r="EC47" s="328"/>
      <c r="ED47" s="328"/>
      <c r="EE47" s="328"/>
      <c r="EF47" s="328"/>
      <c r="EG47" s="328"/>
      <c r="EH47" s="328"/>
      <c r="EI47" s="328"/>
      <c r="EJ47" s="328"/>
      <c r="EK47" s="328"/>
      <c r="EL47" s="328"/>
      <c r="EM47" s="328"/>
      <c r="EN47" s="328"/>
      <c r="EO47" s="328"/>
      <c r="EP47" s="328"/>
      <c r="EQ47" s="328"/>
      <c r="ER47" s="328"/>
      <c r="ES47" s="328"/>
      <c r="ET47" s="328"/>
      <c r="EU47" s="328"/>
      <c r="EV47" s="328"/>
      <c r="EW47" s="328"/>
      <c r="EX47" s="328"/>
      <c r="EY47" s="328"/>
      <c r="EZ47" s="328"/>
      <c r="FA47" s="328"/>
      <c r="FB47" s="328"/>
      <c r="FC47" s="328"/>
      <c r="FD47" s="328"/>
      <c r="FE47" s="328"/>
      <c r="FF47" s="328"/>
      <c r="FG47" s="328"/>
      <c r="FH47" s="328"/>
      <c r="FI47" s="328"/>
      <c r="FJ47" s="328"/>
      <c r="FK47" s="328"/>
      <c r="FL47" s="328"/>
      <c r="FM47" s="328"/>
      <c r="FN47" s="328"/>
      <c r="FO47" s="328"/>
      <c r="FP47" s="328"/>
      <c r="FQ47" s="328"/>
      <c r="FR47" s="328"/>
      <c r="FS47" s="328"/>
      <c r="FT47" s="328"/>
      <c r="FU47" s="328"/>
      <c r="FV47" s="328"/>
      <c r="FW47" s="328"/>
      <c r="FX47" s="328"/>
      <c r="FY47" s="328"/>
      <c r="FZ47" s="328"/>
      <c r="GA47" s="328"/>
      <c r="GB47" s="328"/>
      <c r="GC47" s="328"/>
      <c r="GD47" s="328"/>
      <c r="GE47" s="328"/>
      <c r="GF47" s="328"/>
      <c r="GG47" s="328"/>
      <c r="GH47" s="328"/>
      <c r="GI47" s="328"/>
      <c r="GJ47" s="328"/>
      <c r="GK47" s="328"/>
      <c r="GL47" s="328"/>
      <c r="GM47" s="328"/>
      <c r="GN47" s="328"/>
      <c r="GO47" s="328"/>
      <c r="GP47" s="328"/>
      <c r="GQ47" s="328"/>
      <c r="GR47" s="328"/>
      <c r="GS47" s="328"/>
      <c r="GT47" s="328"/>
      <c r="GU47" s="328"/>
      <c r="GV47" s="328"/>
      <c r="GW47" s="328"/>
      <c r="GX47" s="328"/>
      <c r="GY47" s="328"/>
      <c r="GZ47" s="328"/>
      <c r="HA47" s="328"/>
      <c r="HB47" s="328"/>
      <c r="HC47" s="328"/>
      <c r="HD47" s="328"/>
      <c r="HE47" s="328"/>
      <c r="HF47" s="328"/>
      <c r="HG47" s="328"/>
      <c r="HH47" s="328"/>
      <c r="HI47" s="328"/>
      <c r="HJ47" s="328"/>
      <c r="HK47" s="328"/>
      <c r="HL47" s="328"/>
      <c r="HM47" s="328"/>
      <c r="HN47" s="328"/>
      <c r="HO47" s="328"/>
      <c r="HP47" s="328"/>
      <c r="HQ47" s="328"/>
      <c r="HR47" s="328"/>
      <c r="HS47" s="328"/>
      <c r="HT47" s="328"/>
      <c r="HU47" s="328"/>
      <c r="HV47" s="328"/>
      <c r="HW47" s="328"/>
      <c r="HX47" s="328"/>
      <c r="HY47" s="328"/>
      <c r="HZ47" s="328"/>
      <c r="IA47" s="328"/>
      <c r="IB47" s="328"/>
      <c r="IC47" s="328"/>
      <c r="ID47" s="328"/>
      <c r="IE47" s="328"/>
      <c r="IF47" s="328"/>
      <c r="IG47" s="328"/>
      <c r="IH47" s="328"/>
      <c r="II47" s="328"/>
      <c r="IJ47" s="328"/>
      <c r="IK47" s="328"/>
      <c r="IL47" s="328"/>
      <c r="IM47" s="328"/>
      <c r="IN47" s="328"/>
      <c r="IO47" s="328"/>
      <c r="IP47" s="328"/>
      <c r="IQ47" s="328"/>
      <c r="IR47" s="328"/>
      <c r="IS47" s="328"/>
      <c r="IT47" s="328"/>
      <c r="IU47" s="328"/>
      <c r="IV47" s="328"/>
    </row>
    <row r="48" spans="1:256" ht="12.75" customHeight="1" x14ac:dyDescent="0.25">
      <c r="A48" s="1724"/>
      <c r="B48" s="1726" t="s">
        <v>1443</v>
      </c>
      <c r="C48" s="1727"/>
      <c r="D48" s="1727"/>
      <c r="E48" s="1728"/>
      <c r="F48" s="1727" t="s">
        <v>1442</v>
      </c>
      <c r="G48" s="1727"/>
      <c r="H48" s="1727"/>
      <c r="I48" s="1727"/>
      <c r="J48" s="1728"/>
      <c r="K48" s="1727" t="s">
        <v>1393</v>
      </c>
      <c r="L48" s="1727"/>
      <c r="M48" s="1727"/>
      <c r="N48" s="1727"/>
      <c r="O48" s="1728"/>
      <c r="P48" s="1727" t="s">
        <v>1394</v>
      </c>
      <c r="Q48" s="1727"/>
      <c r="R48" s="1727"/>
      <c r="S48" s="1727"/>
      <c r="T48" s="1728"/>
      <c r="U48" s="1727" t="s">
        <v>1395</v>
      </c>
      <c r="V48" s="1727"/>
      <c r="W48" s="1727"/>
      <c r="X48" s="1727"/>
      <c r="Y48" s="1728"/>
      <c r="Z48" s="1727" t="s">
        <v>1552</v>
      </c>
      <c r="AA48" s="1727"/>
      <c r="AB48" s="1727"/>
      <c r="AC48" s="1727"/>
      <c r="AD48" s="1735"/>
      <c r="AE48" s="328"/>
      <c r="AF48" s="328"/>
      <c r="AG48" s="328"/>
      <c r="AH48" s="328"/>
      <c r="AI48" s="328"/>
      <c r="AJ48" s="328"/>
      <c r="AK48" s="328"/>
      <c r="AL48" s="328"/>
      <c r="AM48" s="328"/>
      <c r="AN48" s="328"/>
      <c r="AO48" s="328"/>
      <c r="AP48" s="328"/>
      <c r="AQ48" s="328"/>
      <c r="AR48" s="328"/>
      <c r="AS48" s="328"/>
      <c r="AT48" s="328"/>
      <c r="AU48" s="328"/>
      <c r="AV48" s="328"/>
      <c r="AW48" s="328"/>
      <c r="AX48" s="328"/>
      <c r="AY48" s="328"/>
      <c r="AZ48" s="328"/>
      <c r="BA48" s="328"/>
      <c r="BB48" s="328"/>
      <c r="BC48" s="328"/>
      <c r="BD48" s="328"/>
      <c r="BE48" s="328"/>
      <c r="BF48" s="328"/>
      <c r="BG48" s="328"/>
      <c r="BH48" s="328"/>
      <c r="BI48" s="328"/>
      <c r="BJ48" s="328"/>
      <c r="BK48" s="328"/>
      <c r="BL48" s="328"/>
      <c r="BM48" s="328"/>
      <c r="BN48" s="328"/>
      <c r="BO48" s="328"/>
      <c r="BP48" s="328"/>
      <c r="BQ48" s="328"/>
      <c r="BR48" s="328"/>
      <c r="BS48" s="328"/>
      <c r="BT48" s="328"/>
      <c r="BU48" s="328"/>
      <c r="BV48" s="328"/>
      <c r="BW48" s="328"/>
      <c r="BX48" s="328"/>
      <c r="BY48" s="328"/>
      <c r="BZ48" s="328"/>
      <c r="CA48" s="328"/>
      <c r="CB48" s="328"/>
      <c r="CC48" s="328"/>
      <c r="CD48" s="328"/>
      <c r="CE48" s="328"/>
      <c r="CF48" s="328"/>
      <c r="CG48" s="328"/>
      <c r="CH48" s="328"/>
      <c r="CI48" s="328"/>
      <c r="CJ48" s="328"/>
      <c r="CK48" s="328"/>
      <c r="CL48" s="328"/>
      <c r="CM48" s="328"/>
      <c r="CN48" s="328"/>
      <c r="CO48" s="328"/>
      <c r="CP48" s="328"/>
      <c r="CQ48" s="328"/>
      <c r="CR48" s="328"/>
      <c r="CS48" s="328"/>
      <c r="CT48" s="328"/>
      <c r="CU48" s="328"/>
      <c r="CV48" s="328"/>
      <c r="CW48" s="328"/>
      <c r="CX48" s="328"/>
      <c r="CY48" s="328"/>
      <c r="CZ48" s="328"/>
      <c r="DA48" s="328"/>
      <c r="DB48" s="328"/>
      <c r="DC48" s="328"/>
      <c r="DD48" s="328"/>
      <c r="DE48" s="328"/>
      <c r="DF48" s="328"/>
      <c r="DG48" s="328"/>
      <c r="DH48" s="328"/>
      <c r="DI48" s="328"/>
      <c r="DJ48" s="328"/>
      <c r="DK48" s="328"/>
      <c r="DL48" s="328"/>
      <c r="DM48" s="328"/>
      <c r="DN48" s="328"/>
      <c r="DO48" s="328"/>
      <c r="DP48" s="328"/>
      <c r="DQ48" s="328"/>
      <c r="DR48" s="328"/>
      <c r="DS48" s="328"/>
      <c r="DT48" s="328"/>
      <c r="DU48" s="328"/>
      <c r="DV48" s="328"/>
      <c r="DW48" s="328"/>
      <c r="DX48" s="328"/>
      <c r="DY48" s="328"/>
      <c r="DZ48" s="328"/>
      <c r="EA48" s="328"/>
      <c r="EB48" s="328"/>
      <c r="EC48" s="328"/>
      <c r="ED48" s="328"/>
      <c r="EE48" s="328"/>
      <c r="EF48" s="328"/>
      <c r="EG48" s="328"/>
      <c r="EH48" s="328"/>
      <c r="EI48" s="328"/>
      <c r="EJ48" s="328"/>
      <c r="EK48" s="328"/>
      <c r="EL48" s="328"/>
      <c r="EM48" s="328"/>
      <c r="EN48" s="328"/>
      <c r="EO48" s="328"/>
      <c r="EP48" s="328"/>
      <c r="EQ48" s="328"/>
      <c r="ER48" s="328"/>
      <c r="ES48" s="328"/>
      <c r="ET48" s="328"/>
      <c r="EU48" s="328"/>
      <c r="EV48" s="328"/>
      <c r="EW48" s="328"/>
      <c r="EX48" s="328"/>
      <c r="EY48" s="328"/>
      <c r="EZ48" s="328"/>
      <c r="FA48" s="328"/>
      <c r="FB48" s="328"/>
      <c r="FC48" s="328"/>
      <c r="FD48" s="328"/>
      <c r="FE48" s="328"/>
      <c r="FF48" s="328"/>
      <c r="FG48" s="328"/>
      <c r="FH48" s="328"/>
      <c r="FI48" s="328"/>
      <c r="FJ48" s="328"/>
      <c r="FK48" s="328"/>
      <c r="FL48" s="328"/>
      <c r="FM48" s="328"/>
      <c r="FN48" s="328"/>
      <c r="FO48" s="328"/>
      <c r="FP48" s="328"/>
      <c r="FQ48" s="328"/>
      <c r="FR48" s="328"/>
      <c r="FS48" s="328"/>
      <c r="FT48" s="328"/>
      <c r="FU48" s="328"/>
      <c r="FV48" s="328"/>
      <c r="FW48" s="328"/>
      <c r="FX48" s="328"/>
      <c r="FY48" s="328"/>
      <c r="FZ48" s="328"/>
      <c r="GA48" s="328"/>
      <c r="GB48" s="328"/>
      <c r="GC48" s="328"/>
      <c r="GD48" s="328"/>
      <c r="GE48" s="328"/>
      <c r="GF48" s="328"/>
      <c r="GG48" s="328"/>
      <c r="GH48" s="328"/>
      <c r="GI48" s="328"/>
      <c r="GJ48" s="328"/>
      <c r="GK48" s="328"/>
      <c r="GL48" s="328"/>
      <c r="GM48" s="328"/>
      <c r="GN48" s="328"/>
      <c r="GO48" s="328"/>
      <c r="GP48" s="328"/>
      <c r="GQ48" s="328"/>
      <c r="GR48" s="328"/>
      <c r="GS48" s="328"/>
      <c r="GT48" s="328"/>
      <c r="GU48" s="328"/>
      <c r="GV48" s="328"/>
      <c r="GW48" s="328"/>
      <c r="GX48" s="328"/>
      <c r="GY48" s="328"/>
      <c r="GZ48" s="328"/>
      <c r="HA48" s="328"/>
      <c r="HB48" s="328"/>
      <c r="HC48" s="328"/>
      <c r="HD48" s="328"/>
      <c r="HE48" s="328"/>
      <c r="HF48" s="328"/>
      <c r="HG48" s="328"/>
      <c r="HH48" s="328"/>
      <c r="HI48" s="328"/>
      <c r="HJ48" s="328"/>
      <c r="HK48" s="328"/>
      <c r="HL48" s="328"/>
      <c r="HM48" s="328"/>
      <c r="HN48" s="328"/>
      <c r="HO48" s="328"/>
      <c r="HP48" s="328"/>
      <c r="HQ48" s="328"/>
      <c r="HR48" s="328"/>
      <c r="HS48" s="328"/>
      <c r="HT48" s="328"/>
      <c r="HU48" s="328"/>
      <c r="HV48" s="328"/>
      <c r="HW48" s="328"/>
      <c r="HX48" s="328"/>
      <c r="HY48" s="328"/>
      <c r="HZ48" s="328"/>
      <c r="IA48" s="328"/>
      <c r="IB48" s="328"/>
      <c r="IC48" s="328"/>
      <c r="ID48" s="328"/>
      <c r="IE48" s="328"/>
      <c r="IF48" s="328"/>
      <c r="IG48" s="328"/>
      <c r="IH48" s="328"/>
      <c r="II48" s="328"/>
      <c r="IJ48" s="328"/>
      <c r="IK48" s="328"/>
      <c r="IL48" s="328"/>
      <c r="IM48" s="328"/>
      <c r="IN48" s="328"/>
      <c r="IO48" s="328"/>
      <c r="IP48" s="328"/>
      <c r="IQ48" s="328"/>
      <c r="IR48" s="328"/>
      <c r="IS48" s="328"/>
      <c r="IT48" s="328"/>
      <c r="IU48" s="328"/>
      <c r="IV48" s="328"/>
    </row>
    <row r="49" spans="1:256" s="610" customFormat="1" x14ac:dyDescent="0.25">
      <c r="A49" s="576" t="s">
        <v>408</v>
      </c>
      <c r="B49" s="605"/>
      <c r="C49" s="606"/>
      <c r="D49" s="606"/>
      <c r="E49" s="607"/>
      <c r="F49" s="605"/>
      <c r="G49" s="606"/>
      <c r="H49" s="606"/>
      <c r="I49" s="606"/>
      <c r="J49" s="607"/>
      <c r="K49" s="1247"/>
      <c r="L49" s="1248"/>
      <c r="M49" s="1248"/>
      <c r="N49" s="1248"/>
      <c r="O49" s="607"/>
      <c r="P49" s="605"/>
      <c r="Q49" s="606"/>
      <c r="R49" s="606"/>
      <c r="S49" s="606"/>
      <c r="T49" s="607"/>
      <c r="U49" s="605"/>
      <c r="V49" s="606"/>
      <c r="W49" s="606"/>
      <c r="X49" s="606"/>
      <c r="Y49" s="607"/>
      <c r="Z49" s="605"/>
      <c r="AA49" s="606"/>
      <c r="AB49" s="606"/>
      <c r="AC49" s="606"/>
      <c r="AD49" s="608"/>
      <c r="AE49" s="328"/>
      <c r="AF49" s="328"/>
      <c r="AG49" s="328"/>
      <c r="AH49" s="328"/>
      <c r="AI49" s="328"/>
      <c r="AJ49" s="328"/>
      <c r="AK49" s="328"/>
      <c r="AL49" s="328"/>
      <c r="AM49" s="328"/>
      <c r="AN49" s="328"/>
      <c r="AO49" s="328"/>
      <c r="AP49" s="328"/>
      <c r="AQ49" s="328"/>
      <c r="AR49" s="328"/>
      <c r="AS49" s="328"/>
      <c r="AT49" s="328"/>
      <c r="AU49" s="328"/>
      <c r="AV49" s="328"/>
      <c r="AW49" s="328"/>
      <c r="AX49" s="328"/>
      <c r="AY49" s="328"/>
      <c r="AZ49" s="328"/>
      <c r="BA49" s="328"/>
      <c r="BB49" s="328"/>
      <c r="BC49" s="328"/>
      <c r="BD49" s="328"/>
      <c r="BE49" s="328"/>
      <c r="BF49" s="328"/>
      <c r="BG49" s="328"/>
      <c r="BH49" s="328"/>
      <c r="BI49" s="328"/>
      <c r="BJ49" s="328"/>
      <c r="BK49" s="328"/>
      <c r="BL49" s="328"/>
      <c r="BM49" s="328"/>
      <c r="BN49" s="328"/>
      <c r="BO49" s="328"/>
      <c r="BP49" s="328"/>
      <c r="BQ49" s="328"/>
      <c r="BR49" s="328"/>
      <c r="BS49" s="328"/>
      <c r="BT49" s="328"/>
      <c r="BU49" s="328"/>
      <c r="BV49" s="328"/>
      <c r="BW49" s="328"/>
      <c r="BX49" s="328"/>
      <c r="BY49" s="328"/>
      <c r="BZ49" s="328"/>
      <c r="CA49" s="328"/>
      <c r="CB49" s="328"/>
      <c r="CC49" s="328"/>
      <c r="CD49" s="328"/>
      <c r="CE49" s="328"/>
      <c r="CF49" s="328"/>
      <c r="CG49" s="328"/>
      <c r="CH49" s="328"/>
      <c r="CI49" s="328"/>
      <c r="CJ49" s="328"/>
      <c r="CK49" s="328"/>
      <c r="CL49" s="328"/>
      <c r="CM49" s="328"/>
      <c r="CN49" s="328"/>
      <c r="CO49" s="328"/>
      <c r="CP49" s="328"/>
      <c r="CQ49" s="328"/>
      <c r="CR49" s="328"/>
      <c r="CS49" s="328"/>
      <c r="CT49" s="328"/>
      <c r="CU49" s="328"/>
      <c r="CV49" s="328"/>
      <c r="CW49" s="328"/>
      <c r="CX49" s="328"/>
      <c r="CY49" s="328"/>
      <c r="CZ49" s="328"/>
      <c r="DA49" s="328"/>
      <c r="DB49" s="328"/>
      <c r="DC49" s="328"/>
      <c r="DD49" s="328"/>
      <c r="DE49" s="328"/>
      <c r="DF49" s="328"/>
      <c r="DG49" s="328"/>
      <c r="DH49" s="328"/>
      <c r="DI49" s="328"/>
      <c r="DJ49" s="328"/>
      <c r="DK49" s="328"/>
      <c r="DL49" s="328"/>
      <c r="DM49" s="328"/>
      <c r="DN49" s="328"/>
      <c r="DO49" s="328"/>
      <c r="DP49" s="328"/>
      <c r="DQ49" s="328"/>
      <c r="DR49" s="328"/>
      <c r="DS49" s="328"/>
      <c r="DT49" s="328"/>
      <c r="DU49" s="328"/>
      <c r="DV49" s="328"/>
      <c r="DW49" s="328"/>
      <c r="DX49" s="328"/>
      <c r="DY49" s="328"/>
      <c r="DZ49" s="328"/>
      <c r="EA49" s="328"/>
      <c r="EB49" s="328"/>
      <c r="EC49" s="328"/>
      <c r="ED49" s="328"/>
      <c r="EE49" s="328"/>
      <c r="EF49" s="328"/>
      <c r="EG49" s="328"/>
      <c r="EH49" s="328"/>
      <c r="EI49" s="328"/>
      <c r="EJ49" s="328"/>
      <c r="EK49" s="328"/>
      <c r="EL49" s="328"/>
      <c r="EM49" s="328"/>
      <c r="EN49" s="328"/>
      <c r="EO49" s="328"/>
      <c r="EP49" s="328"/>
      <c r="EQ49" s="328"/>
      <c r="ER49" s="328"/>
      <c r="ES49" s="328"/>
      <c r="ET49" s="328"/>
      <c r="EU49" s="328"/>
      <c r="EV49" s="328"/>
      <c r="EW49" s="328"/>
      <c r="EX49" s="328"/>
      <c r="EY49" s="328"/>
      <c r="EZ49" s="328"/>
      <c r="FA49" s="328"/>
      <c r="FB49" s="328"/>
      <c r="FC49" s="328"/>
      <c r="FD49" s="328"/>
      <c r="FE49" s="328"/>
      <c r="FF49" s="328"/>
      <c r="FG49" s="328"/>
      <c r="FH49" s="328"/>
      <c r="FI49" s="328"/>
      <c r="FJ49" s="328"/>
      <c r="FK49" s="328"/>
      <c r="FL49" s="328"/>
      <c r="FM49" s="328"/>
      <c r="FN49" s="328"/>
      <c r="FO49" s="328"/>
      <c r="FP49" s="328"/>
      <c r="FQ49" s="328"/>
      <c r="FR49" s="328"/>
      <c r="FS49" s="328"/>
      <c r="FT49" s="328"/>
      <c r="FU49" s="328"/>
      <c r="FV49" s="328"/>
      <c r="FW49" s="328"/>
      <c r="FX49" s="328"/>
      <c r="FY49" s="328"/>
      <c r="FZ49" s="328"/>
      <c r="GA49" s="328"/>
      <c r="GB49" s="328"/>
      <c r="GC49" s="328"/>
      <c r="GD49" s="328"/>
      <c r="GE49" s="328"/>
      <c r="GF49" s="328"/>
      <c r="GG49" s="328"/>
      <c r="GH49" s="328"/>
      <c r="GI49" s="328"/>
      <c r="GJ49" s="328"/>
      <c r="GK49" s="328"/>
      <c r="GL49" s="328"/>
      <c r="GM49" s="328"/>
      <c r="GN49" s="328"/>
      <c r="GO49" s="328"/>
      <c r="GP49" s="328"/>
      <c r="GQ49" s="328"/>
      <c r="GR49" s="328"/>
      <c r="GS49" s="328"/>
      <c r="GT49" s="328"/>
      <c r="GU49" s="328"/>
      <c r="GV49" s="328"/>
      <c r="GW49" s="328"/>
      <c r="GX49" s="328"/>
      <c r="GY49" s="328"/>
      <c r="GZ49" s="328"/>
      <c r="HA49" s="328"/>
      <c r="HB49" s="328"/>
      <c r="HC49" s="328"/>
      <c r="HD49" s="328"/>
      <c r="HE49" s="328"/>
      <c r="HF49" s="328"/>
      <c r="HG49" s="328"/>
      <c r="HH49" s="328"/>
      <c r="HI49" s="328"/>
      <c r="HJ49" s="328"/>
      <c r="HK49" s="328"/>
      <c r="HL49" s="328"/>
      <c r="HM49" s="328"/>
      <c r="HN49" s="328"/>
      <c r="HO49" s="328"/>
      <c r="HP49" s="328"/>
      <c r="HQ49" s="328"/>
      <c r="HR49" s="328"/>
      <c r="HS49" s="328"/>
      <c r="HT49" s="328"/>
      <c r="HU49" s="328"/>
      <c r="HV49" s="328"/>
      <c r="HW49" s="328"/>
      <c r="HX49" s="328"/>
      <c r="HY49" s="328"/>
      <c r="HZ49" s="328"/>
      <c r="IA49" s="328"/>
      <c r="IB49" s="328"/>
      <c r="IC49" s="328"/>
      <c r="ID49" s="328"/>
      <c r="IE49" s="328"/>
      <c r="IF49" s="328"/>
      <c r="IG49" s="328"/>
      <c r="IH49" s="328"/>
      <c r="II49" s="328"/>
      <c r="IJ49" s="328"/>
      <c r="IK49" s="328"/>
      <c r="IL49" s="328"/>
      <c r="IM49" s="328"/>
      <c r="IN49" s="328"/>
      <c r="IO49" s="328"/>
      <c r="IP49" s="328"/>
      <c r="IQ49" s="328"/>
      <c r="IR49" s="328"/>
      <c r="IS49" s="328"/>
      <c r="IT49" s="328"/>
      <c r="IU49" s="328"/>
      <c r="IV49" s="328"/>
    </row>
    <row r="50" spans="1:256" x14ac:dyDescent="0.25">
      <c r="A50" s="566" t="s">
        <v>976</v>
      </c>
      <c r="B50" s="1227">
        <v>825</v>
      </c>
      <c r="C50" s="1227">
        <v>443</v>
      </c>
      <c r="D50" s="1230">
        <v>0</v>
      </c>
      <c r="E50" s="745">
        <f>SUM(B50:D50)</f>
        <v>1268</v>
      </c>
      <c r="F50" s="1227">
        <v>885</v>
      </c>
      <c r="G50" s="1227">
        <v>461</v>
      </c>
      <c r="H50" s="1230">
        <v>0</v>
      </c>
      <c r="I50" s="980">
        <f>SUM(F50:H50)</f>
        <v>1346</v>
      </c>
      <c r="J50" s="582">
        <f>IF(E50&gt;0,(I50-E50)/E50,(IF(I50=0,"N/A",100%)))</f>
        <v>6.1514195583596214E-2</v>
      </c>
      <c r="K50" s="580">
        <v>1272</v>
      </c>
      <c r="L50" s="581">
        <v>307</v>
      </c>
      <c r="M50" s="581">
        <v>0</v>
      </c>
      <c r="N50" s="581">
        <f>SUM(K50:M50)</f>
        <v>1579</v>
      </c>
      <c r="O50" s="155">
        <f t="shared" ref="O50:O80" si="31">IF(I50&gt;0,(N50-I50)/I50,(IF(N50=0,"N/A",100%)))</f>
        <v>0.17310549777117384</v>
      </c>
      <c r="P50" s="512">
        <v>1401</v>
      </c>
      <c r="Q50" s="154">
        <v>273</v>
      </c>
      <c r="R50" s="581">
        <v>0</v>
      </c>
      <c r="S50" s="154">
        <f>SUM(P50:R50)</f>
        <v>1674</v>
      </c>
      <c r="T50" s="602">
        <f>IF(N50&gt;0,(S50-N50)/N50,(IF(S50=0,"N/A",100%)))</f>
        <v>6.0164661177960738E-2</v>
      </c>
      <c r="U50" s="154">
        <v>1077</v>
      </c>
      <c r="V50" s="154">
        <v>500</v>
      </c>
      <c r="W50" s="581">
        <v>0</v>
      </c>
      <c r="X50" s="154">
        <f>SUM(U50:W50)</f>
        <v>1577</v>
      </c>
      <c r="Y50" s="155">
        <f>IF(S50&gt;0,(X50-S50)/S50,(IF(X50=0,"N/A",100%)))</f>
        <v>-5.7945041816009561E-2</v>
      </c>
      <c r="Z50" s="154">
        <v>816</v>
      </c>
      <c r="AA50" s="154">
        <v>547</v>
      </c>
      <c r="AB50" s="581">
        <v>3</v>
      </c>
      <c r="AC50" s="154">
        <f>SUM(Z50:AB50)</f>
        <v>1366</v>
      </c>
      <c r="AD50" s="567">
        <f>IF(X50&gt;0,(AC50-X50)/X50,(IF(AC50=0,"N/A",100%)))</f>
        <v>-0.13379835129993659</v>
      </c>
      <c r="AE50" s="328"/>
      <c r="AF50" s="328"/>
      <c r="AG50" s="328"/>
      <c r="AH50" s="328"/>
      <c r="AI50" s="328"/>
      <c r="AJ50" s="328"/>
      <c r="AK50" s="328"/>
      <c r="AL50" s="328"/>
      <c r="AM50" s="328"/>
      <c r="AN50" s="328"/>
      <c r="AO50" s="328"/>
      <c r="AP50" s="328"/>
      <c r="AQ50" s="328"/>
      <c r="AR50" s="328"/>
      <c r="AS50" s="328"/>
      <c r="AT50" s="328"/>
      <c r="AU50" s="328"/>
      <c r="AV50" s="328"/>
      <c r="AW50" s="328"/>
      <c r="AX50" s="328"/>
      <c r="AY50" s="328"/>
      <c r="AZ50" s="328"/>
      <c r="BA50" s="328"/>
      <c r="BB50" s="328"/>
      <c r="BC50" s="328"/>
      <c r="BD50" s="328"/>
      <c r="BE50" s="328"/>
      <c r="BF50" s="328"/>
      <c r="BG50" s="328"/>
      <c r="BH50" s="328"/>
      <c r="BI50" s="328"/>
      <c r="BJ50" s="328"/>
      <c r="BK50" s="328"/>
      <c r="BL50" s="328"/>
      <c r="BM50" s="328"/>
      <c r="BN50" s="328"/>
      <c r="BO50" s="328"/>
      <c r="BP50" s="328"/>
      <c r="BQ50" s="328"/>
      <c r="BR50" s="328"/>
      <c r="BS50" s="328"/>
      <c r="BT50" s="328"/>
      <c r="BU50" s="328"/>
      <c r="BV50" s="328"/>
      <c r="BW50" s="328"/>
      <c r="BX50" s="328"/>
      <c r="BY50" s="328"/>
      <c r="BZ50" s="328"/>
      <c r="CA50" s="328"/>
      <c r="CB50" s="328"/>
      <c r="CC50" s="328"/>
      <c r="CD50" s="328"/>
      <c r="CE50" s="328"/>
      <c r="CF50" s="328"/>
      <c r="CG50" s="328"/>
      <c r="CH50" s="328"/>
      <c r="CI50" s="328"/>
      <c r="CJ50" s="328"/>
      <c r="CK50" s="328"/>
      <c r="CL50" s="328"/>
      <c r="CM50" s="328"/>
      <c r="CN50" s="328"/>
      <c r="CO50" s="328"/>
      <c r="CP50" s="328"/>
      <c r="CQ50" s="328"/>
      <c r="CR50" s="328"/>
      <c r="CS50" s="328"/>
      <c r="CT50" s="328"/>
      <c r="CU50" s="328"/>
      <c r="CV50" s="328"/>
      <c r="CW50" s="328"/>
      <c r="CX50" s="328"/>
      <c r="CY50" s="328"/>
      <c r="CZ50" s="328"/>
      <c r="DA50" s="328"/>
      <c r="DB50" s="328"/>
      <c r="DC50" s="328"/>
      <c r="DD50" s="328"/>
      <c r="DE50" s="328"/>
      <c r="DF50" s="328"/>
      <c r="DG50" s="328"/>
      <c r="DH50" s="328"/>
      <c r="DI50" s="328"/>
      <c r="DJ50" s="328"/>
      <c r="DK50" s="328"/>
      <c r="DL50" s="328"/>
      <c r="DM50" s="328"/>
      <c r="DN50" s="328"/>
      <c r="DO50" s="328"/>
      <c r="DP50" s="328"/>
      <c r="DQ50" s="328"/>
      <c r="DR50" s="328"/>
      <c r="DS50" s="328"/>
      <c r="DT50" s="328"/>
      <c r="DU50" s="328"/>
      <c r="DV50" s="328"/>
      <c r="DW50" s="328"/>
      <c r="DX50" s="328"/>
      <c r="DY50" s="328"/>
      <c r="DZ50" s="328"/>
      <c r="EA50" s="328"/>
      <c r="EB50" s="328"/>
      <c r="EC50" s="328"/>
      <c r="ED50" s="328"/>
      <c r="EE50" s="328"/>
      <c r="EF50" s="328"/>
      <c r="EG50" s="328"/>
      <c r="EH50" s="328"/>
      <c r="EI50" s="328"/>
      <c r="EJ50" s="328"/>
      <c r="EK50" s="328"/>
      <c r="EL50" s="328"/>
      <c r="EM50" s="328"/>
      <c r="EN50" s="328"/>
      <c r="EO50" s="328"/>
      <c r="EP50" s="328"/>
      <c r="EQ50" s="328"/>
      <c r="ER50" s="328"/>
      <c r="ES50" s="328"/>
      <c r="ET50" s="328"/>
      <c r="EU50" s="328"/>
      <c r="EV50" s="328"/>
      <c r="EW50" s="328"/>
      <c r="EX50" s="328"/>
      <c r="EY50" s="328"/>
      <c r="EZ50" s="328"/>
      <c r="FA50" s="328"/>
      <c r="FB50" s="328"/>
      <c r="FC50" s="328"/>
      <c r="FD50" s="328"/>
      <c r="FE50" s="328"/>
      <c r="FF50" s="328"/>
      <c r="FG50" s="328"/>
      <c r="FH50" s="328"/>
      <c r="FI50" s="328"/>
      <c r="FJ50" s="328"/>
      <c r="FK50" s="328"/>
      <c r="FL50" s="328"/>
      <c r="FM50" s="328"/>
      <c r="FN50" s="328"/>
      <c r="FO50" s="328"/>
      <c r="FP50" s="328"/>
      <c r="FQ50" s="328"/>
      <c r="FR50" s="328"/>
      <c r="FS50" s="328"/>
      <c r="FT50" s="328"/>
      <c r="FU50" s="328"/>
      <c r="FV50" s="328"/>
      <c r="FW50" s="328"/>
      <c r="FX50" s="328"/>
      <c r="FY50" s="328"/>
      <c r="FZ50" s="328"/>
      <c r="GA50" s="328"/>
      <c r="GB50" s="328"/>
      <c r="GC50" s="328"/>
      <c r="GD50" s="328"/>
      <c r="GE50" s="328"/>
      <c r="GF50" s="328"/>
      <c r="GG50" s="328"/>
      <c r="GH50" s="328"/>
      <c r="GI50" s="328"/>
      <c r="GJ50" s="328"/>
      <c r="GK50" s="328"/>
      <c r="GL50" s="328"/>
      <c r="GM50" s="328"/>
      <c r="GN50" s="328"/>
      <c r="GO50" s="328"/>
      <c r="GP50" s="328"/>
      <c r="GQ50" s="328"/>
      <c r="GR50" s="328"/>
      <c r="GS50" s="328"/>
      <c r="GT50" s="328"/>
      <c r="GU50" s="328"/>
      <c r="GV50" s="328"/>
      <c r="GW50" s="328"/>
      <c r="GX50" s="328"/>
      <c r="GY50" s="328"/>
      <c r="GZ50" s="328"/>
      <c r="HA50" s="328"/>
      <c r="HB50" s="328"/>
      <c r="HC50" s="328"/>
      <c r="HD50" s="328"/>
      <c r="HE50" s="328"/>
      <c r="HF50" s="328"/>
      <c r="HG50" s="328"/>
      <c r="HH50" s="328"/>
      <c r="HI50" s="328"/>
      <c r="HJ50" s="328"/>
      <c r="HK50" s="328"/>
      <c r="HL50" s="328"/>
      <c r="HM50" s="328"/>
      <c r="HN50" s="328"/>
      <c r="HO50" s="328"/>
      <c r="HP50" s="328"/>
      <c r="HQ50" s="328"/>
      <c r="HR50" s="328"/>
      <c r="HS50" s="328"/>
      <c r="HT50" s="328"/>
      <c r="HU50" s="328"/>
      <c r="HV50" s="328"/>
      <c r="HW50" s="328"/>
      <c r="HX50" s="328"/>
      <c r="HY50" s="328"/>
      <c r="HZ50" s="328"/>
      <c r="IA50" s="328"/>
      <c r="IB50" s="328"/>
      <c r="IC50" s="328"/>
      <c r="ID50" s="328"/>
      <c r="IE50" s="328"/>
      <c r="IF50" s="328"/>
      <c r="IG50" s="328"/>
      <c r="IH50" s="328"/>
      <c r="II50" s="328"/>
      <c r="IJ50" s="328"/>
      <c r="IK50" s="328"/>
      <c r="IL50" s="328"/>
      <c r="IM50" s="328"/>
      <c r="IN50" s="328"/>
      <c r="IO50" s="328"/>
      <c r="IP50" s="328"/>
      <c r="IQ50" s="328"/>
      <c r="IR50" s="328"/>
      <c r="IS50" s="328"/>
      <c r="IT50" s="328"/>
      <c r="IU50" s="328"/>
      <c r="IV50" s="328"/>
    </row>
    <row r="51" spans="1:256" x14ac:dyDescent="0.25">
      <c r="A51" s="566" t="s">
        <v>977</v>
      </c>
      <c r="B51" s="1227">
        <v>16</v>
      </c>
      <c r="C51" s="1227">
        <v>41</v>
      </c>
      <c r="D51" s="1230">
        <v>0</v>
      </c>
      <c r="E51" s="745">
        <f>SUM(B51:D51)</f>
        <v>57</v>
      </c>
      <c r="F51" s="1227">
        <v>59</v>
      </c>
      <c r="G51" s="1227">
        <v>11</v>
      </c>
      <c r="H51" s="1230">
        <v>0</v>
      </c>
      <c r="I51" s="980">
        <f>SUM(F51:H51)</f>
        <v>70</v>
      </c>
      <c r="J51" s="602">
        <f>IF(E51&gt;0,(I51-E51)/E51,(IF(I51=0,"N/A",100%)))</f>
        <v>0.22807017543859648</v>
      </c>
      <c r="K51" s="580">
        <v>0</v>
      </c>
      <c r="L51" s="581">
        <v>18</v>
      </c>
      <c r="M51" s="581">
        <v>0</v>
      </c>
      <c r="N51" s="581">
        <f>SUM(K51:M51)</f>
        <v>18</v>
      </c>
      <c r="O51" s="155">
        <f t="shared" si="31"/>
        <v>-0.74285714285714288</v>
      </c>
      <c r="P51" s="512">
        <v>87</v>
      </c>
      <c r="Q51" s="154">
        <v>25</v>
      </c>
      <c r="R51" s="581">
        <v>0</v>
      </c>
      <c r="S51" s="154">
        <f>SUM(P51:R51)</f>
        <v>112</v>
      </c>
      <c r="T51" s="602">
        <f>IF(N51&gt;0,(S51-N51)/N51,(IF(S51=0,"N/A",100%)))</f>
        <v>5.2222222222222223</v>
      </c>
      <c r="U51" s="154">
        <v>159</v>
      </c>
      <c r="V51" s="154">
        <v>60</v>
      </c>
      <c r="W51" s="581">
        <v>0</v>
      </c>
      <c r="X51" s="154">
        <f>SUM(U51:W51)</f>
        <v>219</v>
      </c>
      <c r="Y51" s="155">
        <f>IF(S51&gt;0,(X51-S51)/S51,(IF(X51=0,"N/A",100%)))</f>
        <v>0.9553571428571429</v>
      </c>
      <c r="Z51" s="154">
        <v>78</v>
      </c>
      <c r="AA51" s="154">
        <v>21</v>
      </c>
      <c r="AB51" s="581">
        <v>0</v>
      </c>
      <c r="AC51" s="154">
        <f>SUM(Z51:AB51)</f>
        <v>99</v>
      </c>
      <c r="AD51" s="567">
        <f>IF(X51&gt;0,(AC51-X51)/X51,(IF(AC51=0,"N/A",100%)))</f>
        <v>-0.54794520547945202</v>
      </c>
      <c r="AE51" s="328"/>
      <c r="AF51" s="328"/>
      <c r="AG51" s="328"/>
      <c r="AH51" s="328"/>
      <c r="AI51" s="328"/>
      <c r="AJ51" s="328"/>
      <c r="AK51" s="328"/>
      <c r="AL51" s="328"/>
      <c r="AM51" s="328"/>
      <c r="AN51" s="328"/>
      <c r="AO51" s="328"/>
      <c r="AP51" s="328"/>
      <c r="AQ51" s="328"/>
      <c r="AR51" s="328"/>
      <c r="AS51" s="328"/>
      <c r="AT51" s="328"/>
      <c r="AU51" s="328"/>
      <c r="AV51" s="328"/>
      <c r="AW51" s="328"/>
      <c r="AX51" s="328"/>
      <c r="AY51" s="328"/>
      <c r="AZ51" s="328"/>
      <c r="BA51" s="328"/>
      <c r="BB51" s="328"/>
      <c r="BC51" s="328"/>
      <c r="BD51" s="328"/>
      <c r="BE51" s="328"/>
      <c r="BF51" s="328"/>
      <c r="BG51" s="328"/>
      <c r="BH51" s="328"/>
      <c r="BI51" s="328"/>
      <c r="BJ51" s="328"/>
      <c r="BK51" s="328"/>
      <c r="BL51" s="328"/>
      <c r="BM51" s="328"/>
      <c r="BN51" s="328"/>
      <c r="BO51" s="328"/>
      <c r="BP51" s="328"/>
      <c r="BQ51" s="328"/>
      <c r="BR51" s="328"/>
      <c r="BS51" s="328"/>
      <c r="BT51" s="328"/>
      <c r="BU51" s="328"/>
      <c r="BV51" s="328"/>
      <c r="BW51" s="328"/>
      <c r="BX51" s="328"/>
      <c r="BY51" s="328"/>
      <c r="BZ51" s="328"/>
      <c r="CA51" s="328"/>
      <c r="CB51" s="328"/>
      <c r="CC51" s="328"/>
      <c r="CD51" s="328"/>
      <c r="CE51" s="328"/>
      <c r="CF51" s="328"/>
      <c r="CG51" s="328"/>
      <c r="CH51" s="328"/>
      <c r="CI51" s="328"/>
      <c r="CJ51" s="328"/>
      <c r="CK51" s="328"/>
      <c r="CL51" s="328"/>
      <c r="CM51" s="328"/>
      <c r="CN51" s="328"/>
      <c r="CO51" s="328"/>
      <c r="CP51" s="328"/>
      <c r="CQ51" s="328"/>
      <c r="CR51" s="328"/>
      <c r="CS51" s="328"/>
      <c r="CT51" s="328"/>
      <c r="CU51" s="328"/>
      <c r="CV51" s="328"/>
      <c r="CW51" s="328"/>
      <c r="CX51" s="328"/>
      <c r="CY51" s="328"/>
      <c r="CZ51" s="328"/>
      <c r="DA51" s="328"/>
      <c r="DB51" s="328"/>
      <c r="DC51" s="328"/>
      <c r="DD51" s="328"/>
      <c r="DE51" s="328"/>
      <c r="DF51" s="328"/>
      <c r="DG51" s="328"/>
      <c r="DH51" s="328"/>
      <c r="DI51" s="328"/>
      <c r="DJ51" s="328"/>
      <c r="DK51" s="328"/>
      <c r="DL51" s="328"/>
      <c r="DM51" s="328"/>
      <c r="DN51" s="328"/>
      <c r="DO51" s="328"/>
      <c r="DP51" s="328"/>
      <c r="DQ51" s="328"/>
      <c r="DR51" s="328"/>
      <c r="DS51" s="328"/>
      <c r="DT51" s="328"/>
      <c r="DU51" s="328"/>
      <c r="DV51" s="328"/>
      <c r="DW51" s="328"/>
      <c r="DX51" s="328"/>
      <c r="DY51" s="328"/>
      <c r="DZ51" s="328"/>
      <c r="EA51" s="328"/>
      <c r="EB51" s="328"/>
      <c r="EC51" s="328"/>
      <c r="ED51" s="328"/>
      <c r="EE51" s="328"/>
      <c r="EF51" s="328"/>
      <c r="EG51" s="328"/>
      <c r="EH51" s="328"/>
      <c r="EI51" s="328"/>
      <c r="EJ51" s="328"/>
      <c r="EK51" s="328"/>
      <c r="EL51" s="328"/>
      <c r="EM51" s="328"/>
      <c r="EN51" s="328"/>
      <c r="EO51" s="328"/>
      <c r="EP51" s="328"/>
      <c r="EQ51" s="328"/>
      <c r="ER51" s="328"/>
      <c r="ES51" s="328"/>
      <c r="ET51" s="328"/>
      <c r="EU51" s="328"/>
      <c r="EV51" s="328"/>
      <c r="EW51" s="328"/>
      <c r="EX51" s="328"/>
      <c r="EY51" s="328"/>
      <c r="EZ51" s="328"/>
      <c r="FA51" s="328"/>
      <c r="FB51" s="328"/>
      <c r="FC51" s="328"/>
      <c r="FD51" s="328"/>
      <c r="FE51" s="328"/>
      <c r="FF51" s="328"/>
      <c r="FG51" s="328"/>
      <c r="FH51" s="328"/>
      <c r="FI51" s="328"/>
      <c r="FJ51" s="328"/>
      <c r="FK51" s="328"/>
      <c r="FL51" s="328"/>
      <c r="FM51" s="328"/>
      <c r="FN51" s="328"/>
      <c r="FO51" s="328"/>
      <c r="FP51" s="328"/>
      <c r="FQ51" s="328"/>
      <c r="FR51" s="328"/>
      <c r="FS51" s="328"/>
      <c r="FT51" s="328"/>
      <c r="FU51" s="328"/>
      <c r="FV51" s="328"/>
      <c r="FW51" s="328"/>
      <c r="FX51" s="328"/>
      <c r="FY51" s="328"/>
      <c r="FZ51" s="328"/>
      <c r="GA51" s="328"/>
      <c r="GB51" s="328"/>
      <c r="GC51" s="328"/>
      <c r="GD51" s="328"/>
      <c r="GE51" s="328"/>
      <c r="GF51" s="328"/>
      <c r="GG51" s="328"/>
      <c r="GH51" s="328"/>
      <c r="GI51" s="328"/>
      <c r="GJ51" s="328"/>
      <c r="GK51" s="328"/>
      <c r="GL51" s="328"/>
      <c r="GM51" s="328"/>
      <c r="GN51" s="328"/>
      <c r="GO51" s="328"/>
      <c r="GP51" s="328"/>
      <c r="GQ51" s="328"/>
      <c r="GR51" s="328"/>
      <c r="GS51" s="328"/>
      <c r="GT51" s="328"/>
      <c r="GU51" s="328"/>
      <c r="GV51" s="328"/>
      <c r="GW51" s="328"/>
      <c r="GX51" s="328"/>
      <c r="GY51" s="328"/>
      <c r="GZ51" s="328"/>
      <c r="HA51" s="328"/>
      <c r="HB51" s="328"/>
      <c r="HC51" s="328"/>
      <c r="HD51" s="328"/>
      <c r="HE51" s="328"/>
      <c r="HF51" s="328"/>
      <c r="HG51" s="328"/>
      <c r="HH51" s="328"/>
      <c r="HI51" s="328"/>
      <c r="HJ51" s="328"/>
      <c r="HK51" s="328"/>
      <c r="HL51" s="328"/>
      <c r="HM51" s="328"/>
      <c r="HN51" s="328"/>
      <c r="HO51" s="328"/>
      <c r="HP51" s="328"/>
      <c r="HQ51" s="328"/>
      <c r="HR51" s="328"/>
      <c r="HS51" s="328"/>
      <c r="HT51" s="328"/>
      <c r="HU51" s="328"/>
      <c r="HV51" s="328"/>
      <c r="HW51" s="328"/>
      <c r="HX51" s="328"/>
      <c r="HY51" s="328"/>
      <c r="HZ51" s="328"/>
      <c r="IA51" s="328"/>
      <c r="IB51" s="328"/>
      <c r="IC51" s="328"/>
      <c r="ID51" s="328"/>
      <c r="IE51" s="328"/>
      <c r="IF51" s="328"/>
      <c r="IG51" s="328"/>
      <c r="IH51" s="328"/>
      <c r="II51" s="328"/>
      <c r="IJ51" s="328"/>
      <c r="IK51" s="328"/>
      <c r="IL51" s="328"/>
      <c r="IM51" s="328"/>
      <c r="IN51" s="328"/>
      <c r="IO51" s="328"/>
      <c r="IP51" s="328"/>
      <c r="IQ51" s="328"/>
      <c r="IR51" s="328"/>
      <c r="IS51" s="328"/>
      <c r="IT51" s="328"/>
      <c r="IU51" s="328"/>
      <c r="IV51" s="328"/>
    </row>
    <row r="52" spans="1:256" s="575" customFormat="1" ht="13.8" x14ac:dyDescent="0.25">
      <c r="A52" s="570" t="s">
        <v>961</v>
      </c>
      <c r="B52" s="611">
        <f t="shared" ref="B52:I52" si="32">+B51+B50</f>
        <v>841</v>
      </c>
      <c r="C52" s="611">
        <f t="shared" si="32"/>
        <v>484</v>
      </c>
      <c r="D52" s="611">
        <f t="shared" si="32"/>
        <v>0</v>
      </c>
      <c r="E52" s="748">
        <f t="shared" si="32"/>
        <v>1325</v>
      </c>
      <c r="F52" s="611">
        <f t="shared" si="32"/>
        <v>944</v>
      </c>
      <c r="G52" s="611">
        <f t="shared" si="32"/>
        <v>472</v>
      </c>
      <c r="H52" s="611">
        <f t="shared" si="32"/>
        <v>0</v>
      </c>
      <c r="I52" s="1249">
        <f t="shared" si="32"/>
        <v>1416</v>
      </c>
      <c r="J52" s="731">
        <f>IF(E52&gt;0,(I52-E52)/E52,(IF(I52=0,"N/A",100%)))</f>
        <v>6.8679245283018872E-2</v>
      </c>
      <c r="K52" s="585">
        <f>+K51+K50</f>
        <v>1272</v>
      </c>
      <c r="L52" s="586">
        <f>+L51+L50</f>
        <v>325</v>
      </c>
      <c r="M52" s="586">
        <f>+M51+M50</f>
        <v>0</v>
      </c>
      <c r="N52" s="586">
        <f>+N51+N50</f>
        <v>1597</v>
      </c>
      <c r="O52" s="613">
        <f t="shared" si="31"/>
        <v>0.12782485875706215</v>
      </c>
      <c r="P52" s="611">
        <f>+P51+P50</f>
        <v>1488</v>
      </c>
      <c r="Q52" s="611">
        <f>+Q51+Q50</f>
        <v>298</v>
      </c>
      <c r="R52" s="611">
        <f>+R51+R50</f>
        <v>0</v>
      </c>
      <c r="S52" s="611">
        <f>+S51+S50</f>
        <v>1786</v>
      </c>
      <c r="T52" s="731">
        <f>IF(N52&gt;0,(S52-N52)/N52,(IF(S52=0,"N/A",100%)))</f>
        <v>0.11834690043832186</v>
      </c>
      <c r="U52" s="611">
        <f>+U51+U50</f>
        <v>1236</v>
      </c>
      <c r="V52" s="611">
        <f>+V51+V50</f>
        <v>560</v>
      </c>
      <c r="W52" s="611">
        <f>+W51+W50</f>
        <v>0</v>
      </c>
      <c r="X52" s="611">
        <f>+X51+X50</f>
        <v>1796</v>
      </c>
      <c r="Y52" s="613">
        <f>IF(S52&gt;0,(X52-S52)/S52,(IF(X52=0,"N/A",100%)))</f>
        <v>5.5991041433370659E-3</v>
      </c>
      <c r="Z52" s="611">
        <f>+Z51+Z50</f>
        <v>894</v>
      </c>
      <c r="AA52" s="611">
        <f>+AA51+AA50</f>
        <v>568</v>
      </c>
      <c r="AB52" s="611">
        <f>+AB51+AB50</f>
        <v>3</v>
      </c>
      <c r="AC52" s="611">
        <f>+AC51+AC50</f>
        <v>1465</v>
      </c>
      <c r="AD52" s="614">
        <f>IF(X52&gt;0,(AC52-X52)/X52,(IF(AC52=0,"N/A",100%)))</f>
        <v>-0.18429844097995546</v>
      </c>
      <c r="AK52" s="328"/>
      <c r="AL52" s="328"/>
      <c r="AM52" s="328"/>
      <c r="AN52" s="328"/>
      <c r="AO52" s="328"/>
      <c r="AP52" s="328"/>
      <c r="AQ52" s="328"/>
      <c r="AR52" s="328"/>
      <c r="AS52" s="328"/>
      <c r="AT52" s="328"/>
      <c r="AU52" s="328"/>
      <c r="AV52" s="328"/>
      <c r="AW52" s="328"/>
      <c r="AX52" s="328"/>
      <c r="AY52" s="328"/>
      <c r="AZ52" s="328"/>
      <c r="BA52" s="328"/>
      <c r="BB52" s="328"/>
      <c r="BC52" s="328"/>
      <c r="BD52" s="328"/>
      <c r="BE52" s="328"/>
      <c r="BF52" s="328"/>
      <c r="BG52" s="328"/>
      <c r="BH52" s="328"/>
      <c r="BI52" s="328"/>
      <c r="BJ52" s="328"/>
      <c r="BK52" s="328"/>
      <c r="BL52" s="328"/>
      <c r="BM52" s="328"/>
      <c r="BN52" s="328"/>
      <c r="BO52" s="328"/>
      <c r="BP52" s="328"/>
      <c r="BQ52" s="328"/>
      <c r="BR52" s="328"/>
      <c r="BS52" s="328"/>
      <c r="BT52" s="328"/>
      <c r="BU52" s="328"/>
      <c r="BV52" s="328"/>
      <c r="BW52" s="328"/>
      <c r="BX52" s="328"/>
      <c r="BY52" s="328"/>
      <c r="BZ52" s="328"/>
      <c r="CA52" s="328"/>
      <c r="CB52" s="328"/>
      <c r="CC52" s="328"/>
      <c r="CD52" s="328"/>
      <c r="CE52" s="328"/>
      <c r="CF52" s="328"/>
      <c r="CG52" s="328"/>
      <c r="CH52" s="328"/>
      <c r="CI52" s="328"/>
      <c r="CJ52" s="328"/>
      <c r="CK52" s="328"/>
      <c r="CL52" s="328"/>
      <c r="CM52" s="328"/>
      <c r="CN52" s="328"/>
      <c r="CO52" s="328"/>
      <c r="CP52" s="328"/>
      <c r="CQ52" s="328"/>
      <c r="CR52" s="328"/>
      <c r="CS52" s="328"/>
      <c r="CT52" s="328"/>
      <c r="CU52" s="328"/>
      <c r="CV52" s="328"/>
      <c r="CW52" s="328"/>
      <c r="CX52" s="328"/>
      <c r="CY52" s="328"/>
      <c r="CZ52" s="328"/>
      <c r="DA52" s="328"/>
      <c r="DB52" s="328"/>
      <c r="DC52" s="328"/>
      <c r="DD52" s="328"/>
      <c r="DE52" s="328"/>
      <c r="DF52" s="328"/>
      <c r="DG52" s="328"/>
      <c r="DH52" s="328"/>
      <c r="DI52" s="328"/>
      <c r="DJ52" s="328"/>
      <c r="DK52" s="328"/>
      <c r="DL52" s="328"/>
      <c r="DM52" s="328"/>
      <c r="DN52" s="328"/>
      <c r="DO52" s="328"/>
      <c r="DP52" s="328"/>
      <c r="DQ52" s="328"/>
      <c r="DR52" s="328"/>
      <c r="DS52" s="328"/>
      <c r="DT52" s="328"/>
      <c r="DU52" s="328"/>
      <c r="DV52" s="328"/>
      <c r="DW52" s="328"/>
      <c r="DX52" s="328"/>
      <c r="DY52" s="328"/>
      <c r="DZ52" s="328"/>
      <c r="EA52" s="328"/>
      <c r="EB52" s="328"/>
      <c r="EC52" s="328"/>
      <c r="ED52" s="328"/>
      <c r="EE52" s="328"/>
      <c r="EF52" s="328"/>
      <c r="EG52" s="328"/>
      <c r="EH52" s="328"/>
      <c r="EI52" s="328"/>
      <c r="EJ52" s="328"/>
      <c r="EK52" s="328"/>
      <c r="EL52" s="328"/>
      <c r="EM52" s="328"/>
      <c r="EN52" s="328"/>
      <c r="EO52" s="328"/>
      <c r="EP52" s="328"/>
      <c r="EQ52" s="328"/>
      <c r="ER52" s="328"/>
      <c r="ES52" s="328"/>
      <c r="ET52" s="328"/>
      <c r="EU52" s="328"/>
      <c r="EV52" s="328"/>
      <c r="EW52" s="328"/>
      <c r="EX52" s="328"/>
      <c r="EY52" s="328"/>
      <c r="EZ52" s="328"/>
      <c r="FA52" s="328"/>
      <c r="FB52" s="328"/>
      <c r="FC52" s="328"/>
      <c r="FD52" s="328"/>
      <c r="FE52" s="328"/>
      <c r="FF52" s="328"/>
      <c r="FG52" s="328"/>
      <c r="FH52" s="328"/>
      <c r="FI52" s="328"/>
      <c r="FJ52" s="328"/>
      <c r="FK52" s="328"/>
      <c r="FL52" s="328"/>
      <c r="FM52" s="328"/>
      <c r="FN52" s="328"/>
      <c r="FO52" s="328"/>
      <c r="FP52" s="328"/>
      <c r="FQ52" s="328"/>
      <c r="FR52" s="328"/>
      <c r="FS52" s="328"/>
      <c r="FT52" s="328"/>
      <c r="FU52" s="328"/>
      <c r="FV52" s="328"/>
      <c r="FW52" s="328"/>
      <c r="FX52" s="328"/>
      <c r="FY52" s="328"/>
      <c r="FZ52" s="328"/>
      <c r="GA52" s="328"/>
      <c r="GB52" s="328"/>
      <c r="GC52" s="328"/>
      <c r="GD52" s="328"/>
      <c r="GE52" s="328"/>
      <c r="GF52" s="328"/>
      <c r="GG52" s="328"/>
      <c r="GH52" s="328"/>
      <c r="GI52" s="328"/>
      <c r="GJ52" s="328"/>
      <c r="GK52" s="328"/>
      <c r="GL52" s="328"/>
      <c r="GM52" s="328"/>
      <c r="GN52" s="328"/>
      <c r="GO52" s="328"/>
      <c r="GP52" s="328"/>
      <c r="GQ52" s="328"/>
      <c r="GR52" s="328"/>
      <c r="GS52" s="328"/>
      <c r="GT52" s="328"/>
      <c r="GU52" s="328"/>
      <c r="GV52" s="328"/>
      <c r="GW52" s="328"/>
      <c r="GX52" s="328"/>
      <c r="GY52" s="328"/>
      <c r="GZ52" s="328"/>
      <c r="HA52" s="328"/>
      <c r="HB52" s="328"/>
      <c r="HC52" s="328"/>
      <c r="HD52" s="328"/>
      <c r="HE52" s="328"/>
      <c r="HF52" s="328"/>
      <c r="HG52" s="328"/>
      <c r="HH52" s="328"/>
      <c r="HI52" s="328"/>
      <c r="HJ52" s="328"/>
      <c r="HK52" s="328"/>
      <c r="HL52" s="328"/>
      <c r="HM52" s="328"/>
      <c r="HN52" s="328"/>
      <c r="HO52" s="328"/>
      <c r="HP52" s="328"/>
      <c r="HQ52" s="328"/>
      <c r="HR52" s="328"/>
      <c r="HS52" s="328"/>
      <c r="HT52" s="328"/>
      <c r="HU52" s="328"/>
      <c r="HV52" s="328"/>
      <c r="HW52" s="328"/>
      <c r="HX52" s="328"/>
      <c r="HY52" s="328"/>
      <c r="HZ52" s="328"/>
      <c r="IA52" s="328"/>
      <c r="IB52" s="328"/>
      <c r="IC52" s="328"/>
      <c r="ID52" s="328"/>
      <c r="IE52" s="328"/>
      <c r="IF52" s="328"/>
      <c r="IG52" s="328"/>
      <c r="IH52" s="328"/>
      <c r="II52" s="328"/>
      <c r="IJ52" s="328"/>
      <c r="IK52" s="328"/>
      <c r="IL52" s="328"/>
      <c r="IM52" s="328"/>
      <c r="IN52" s="328"/>
      <c r="IO52" s="328"/>
      <c r="IP52" s="328"/>
      <c r="IQ52" s="328"/>
      <c r="IR52" s="328"/>
      <c r="IS52" s="328"/>
      <c r="IT52" s="328"/>
      <c r="IU52" s="328"/>
      <c r="IV52" s="328"/>
    </row>
    <row r="53" spans="1:256" x14ac:dyDescent="0.25">
      <c r="A53" s="576" t="s">
        <v>411</v>
      </c>
      <c r="B53" s="151"/>
      <c r="C53" s="152"/>
      <c r="D53" s="152"/>
      <c r="E53" s="153"/>
      <c r="F53" s="151"/>
      <c r="G53" s="152"/>
      <c r="H53" s="152"/>
      <c r="I53" s="1251"/>
      <c r="J53" s="330"/>
      <c r="K53" s="605"/>
      <c r="L53" s="578"/>
      <c r="M53" s="578"/>
      <c r="N53" s="578"/>
      <c r="O53" s="153"/>
      <c r="P53" s="151"/>
      <c r="Q53" s="152"/>
      <c r="R53" s="152"/>
      <c r="S53" s="152"/>
      <c r="T53" s="153"/>
      <c r="U53" s="151"/>
      <c r="V53" s="152"/>
      <c r="W53" s="152"/>
      <c r="X53" s="152"/>
      <c r="Y53" s="153"/>
      <c r="Z53" s="151"/>
      <c r="AA53" s="152"/>
      <c r="AB53" s="152"/>
      <c r="AC53" s="152"/>
      <c r="AD53" s="565"/>
      <c r="AE53" s="328"/>
      <c r="AF53" s="328"/>
      <c r="AG53" s="328"/>
      <c r="AH53" s="328"/>
      <c r="AI53" s="328"/>
      <c r="AJ53" s="328"/>
      <c r="AK53" s="328"/>
      <c r="AL53" s="328"/>
    </row>
    <row r="54" spans="1:256" x14ac:dyDescent="0.25">
      <c r="A54" s="666" t="s">
        <v>1014</v>
      </c>
      <c r="B54" s="1227">
        <v>0</v>
      </c>
      <c r="C54" s="1227">
        <v>0</v>
      </c>
      <c r="D54" s="1230">
        <v>0</v>
      </c>
      <c r="E54" s="745">
        <f t="shared" ref="E54:E59" si="33">SUM(B54:D54)</f>
        <v>0</v>
      </c>
      <c r="F54" s="1227">
        <v>8</v>
      </c>
      <c r="G54" s="1227">
        <v>0</v>
      </c>
      <c r="H54" s="1230">
        <v>0</v>
      </c>
      <c r="I54" s="980">
        <f t="shared" ref="I54:I59" si="34">SUM(F54:H54)</f>
        <v>8</v>
      </c>
      <c r="J54" s="602">
        <f t="shared" ref="J54:J60" si="35">IF(E54&gt;0,(I54-E54)/E54,(IF(I54=0,"N/A",100%)))</f>
        <v>1</v>
      </c>
      <c r="K54" s="580">
        <v>24</v>
      </c>
      <c r="L54" s="581">
        <v>0</v>
      </c>
      <c r="M54" s="581">
        <v>0</v>
      </c>
      <c r="N54" s="581">
        <f t="shared" ref="N54:N59" si="36">SUM(K54:M54)</f>
        <v>24</v>
      </c>
      <c r="O54" s="155">
        <f t="shared" si="31"/>
        <v>2</v>
      </c>
      <c r="P54" s="154">
        <v>0</v>
      </c>
      <c r="Q54" s="154">
        <v>0</v>
      </c>
      <c r="R54" s="581">
        <v>0</v>
      </c>
      <c r="S54" s="154">
        <f t="shared" ref="S54:S59" si="37">SUM(P54:R54)</f>
        <v>0</v>
      </c>
      <c r="T54" s="602">
        <f t="shared" ref="T54:T60" si="38">IF(N54&gt;0,(S54-N54)/N54,(IF(S54=0,"N/A",100%)))</f>
        <v>-1</v>
      </c>
      <c r="U54" s="154">
        <v>0</v>
      </c>
      <c r="V54" s="154">
        <v>0</v>
      </c>
      <c r="W54" s="581">
        <v>0</v>
      </c>
      <c r="X54" s="154">
        <f t="shared" ref="X54:X59" si="39">SUM(U54:W54)</f>
        <v>0</v>
      </c>
      <c r="Y54" s="155" t="str">
        <f t="shared" ref="Y54:Y60" si="40">IF(S54&gt;0,(X54-S54)/S54,(IF(X54=0,"N/A",100%)))</f>
        <v>N/A</v>
      </c>
      <c r="Z54" s="154">
        <v>0</v>
      </c>
      <c r="AA54" s="154">
        <v>0</v>
      </c>
      <c r="AB54" s="581">
        <v>0</v>
      </c>
      <c r="AC54" s="154">
        <f t="shared" ref="AC54:AC59" si="41">SUM(Z54:AB54)</f>
        <v>0</v>
      </c>
      <c r="AD54" s="567" t="str">
        <f t="shared" ref="AD54:AD60" si="42">IF(X54&gt;0,(AC54-X54)/X54,(IF(AC54=0,"N/A",100%)))</f>
        <v>N/A</v>
      </c>
      <c r="AE54" s="328"/>
      <c r="AF54" s="328"/>
      <c r="AG54" s="328"/>
      <c r="AH54" s="328"/>
      <c r="AI54" s="328"/>
      <c r="AJ54" s="328"/>
      <c r="AK54" s="328"/>
      <c r="AL54" s="328"/>
    </row>
    <row r="55" spans="1:256" x14ac:dyDescent="0.25">
      <c r="A55" s="566" t="s">
        <v>978</v>
      </c>
      <c r="B55" s="1227">
        <v>120</v>
      </c>
      <c r="C55" s="1227">
        <v>150</v>
      </c>
      <c r="D55" s="1230">
        <v>0</v>
      </c>
      <c r="E55" s="745">
        <f t="shared" si="33"/>
        <v>270</v>
      </c>
      <c r="F55" s="1227">
        <v>90</v>
      </c>
      <c r="G55" s="1227">
        <v>147</v>
      </c>
      <c r="H55" s="1230">
        <v>0</v>
      </c>
      <c r="I55" s="980">
        <f t="shared" si="34"/>
        <v>237</v>
      </c>
      <c r="J55" s="602">
        <f t="shared" si="35"/>
        <v>-0.12222222222222222</v>
      </c>
      <c r="K55" s="580">
        <v>147</v>
      </c>
      <c r="L55" s="581">
        <v>141</v>
      </c>
      <c r="M55" s="581">
        <v>0</v>
      </c>
      <c r="N55" s="581">
        <f t="shared" si="36"/>
        <v>288</v>
      </c>
      <c r="O55" s="155">
        <f t="shared" si="31"/>
        <v>0.21518987341772153</v>
      </c>
      <c r="P55" s="154">
        <v>117</v>
      </c>
      <c r="Q55" s="154">
        <v>153</v>
      </c>
      <c r="R55" s="581">
        <v>0</v>
      </c>
      <c r="S55" s="154">
        <f t="shared" si="37"/>
        <v>270</v>
      </c>
      <c r="T55" s="602">
        <f t="shared" si="38"/>
        <v>-6.25E-2</v>
      </c>
      <c r="U55" s="154">
        <v>201</v>
      </c>
      <c r="V55" s="154">
        <v>129</v>
      </c>
      <c r="W55" s="581">
        <v>0</v>
      </c>
      <c r="X55" s="154">
        <f t="shared" si="39"/>
        <v>330</v>
      </c>
      <c r="Y55" s="155">
        <f t="shared" si="40"/>
        <v>0.22222222222222221</v>
      </c>
      <c r="Z55" s="154">
        <v>147</v>
      </c>
      <c r="AA55" s="154">
        <v>117</v>
      </c>
      <c r="AB55" s="581">
        <v>0</v>
      </c>
      <c r="AC55" s="154">
        <f t="shared" si="41"/>
        <v>264</v>
      </c>
      <c r="AD55" s="567">
        <f t="shared" si="42"/>
        <v>-0.2</v>
      </c>
      <c r="AE55" s="328"/>
      <c r="AF55" s="328"/>
      <c r="AG55" s="328"/>
      <c r="AH55" s="328"/>
      <c r="AI55" s="328"/>
      <c r="AJ55" s="328"/>
      <c r="AK55" s="328"/>
      <c r="AL55" s="328"/>
    </row>
    <row r="56" spans="1:256" x14ac:dyDescent="0.25">
      <c r="A56" s="566" t="s">
        <v>981</v>
      </c>
      <c r="B56" s="1227">
        <v>0</v>
      </c>
      <c r="C56" s="1227">
        <v>22</v>
      </c>
      <c r="D56" s="1230">
        <v>0</v>
      </c>
      <c r="E56" s="745">
        <f t="shared" si="33"/>
        <v>22</v>
      </c>
      <c r="F56" s="1227">
        <v>0</v>
      </c>
      <c r="G56" s="1227">
        <v>11</v>
      </c>
      <c r="H56" s="1230">
        <v>0</v>
      </c>
      <c r="I56" s="980">
        <f t="shared" si="34"/>
        <v>11</v>
      </c>
      <c r="J56" s="602">
        <f t="shared" si="35"/>
        <v>-0.5</v>
      </c>
      <c r="K56" s="580">
        <v>0</v>
      </c>
      <c r="L56" s="581">
        <v>14</v>
      </c>
      <c r="M56" s="581">
        <v>0</v>
      </c>
      <c r="N56" s="581">
        <f t="shared" si="36"/>
        <v>14</v>
      </c>
      <c r="O56" s="155">
        <f t="shared" si="31"/>
        <v>0.27272727272727271</v>
      </c>
      <c r="P56" s="154">
        <v>90</v>
      </c>
      <c r="Q56" s="154">
        <v>10</v>
      </c>
      <c r="R56" s="581">
        <v>0</v>
      </c>
      <c r="S56" s="154">
        <f t="shared" si="37"/>
        <v>100</v>
      </c>
      <c r="T56" s="602">
        <f t="shared" si="38"/>
        <v>6.1428571428571432</v>
      </c>
      <c r="U56" s="154">
        <v>93</v>
      </c>
      <c r="V56" s="154">
        <v>16</v>
      </c>
      <c r="W56" s="581">
        <v>0</v>
      </c>
      <c r="X56" s="154">
        <f t="shared" si="39"/>
        <v>109</v>
      </c>
      <c r="Y56" s="155">
        <f t="shared" si="40"/>
        <v>0.09</v>
      </c>
      <c r="Z56" s="154">
        <v>90</v>
      </c>
      <c r="AA56" s="154">
        <v>21</v>
      </c>
      <c r="AB56" s="581">
        <v>0</v>
      </c>
      <c r="AC56" s="154">
        <f t="shared" si="41"/>
        <v>111</v>
      </c>
      <c r="AD56" s="567">
        <f t="shared" si="42"/>
        <v>1.834862385321101E-2</v>
      </c>
      <c r="AE56" s="328"/>
      <c r="AF56" s="328"/>
      <c r="AG56" s="328"/>
      <c r="AH56" s="328"/>
      <c r="AI56" s="328"/>
      <c r="AJ56" s="328"/>
      <c r="AK56" s="328"/>
      <c r="AL56" s="328"/>
    </row>
    <row r="57" spans="1:256" x14ac:dyDescent="0.25">
      <c r="A57" s="566" t="s">
        <v>982</v>
      </c>
      <c r="B57" s="1227">
        <v>150</v>
      </c>
      <c r="C57" s="1227">
        <v>399</v>
      </c>
      <c r="D57" s="1230">
        <v>0</v>
      </c>
      <c r="E57" s="745">
        <f t="shared" si="33"/>
        <v>549</v>
      </c>
      <c r="F57" s="1227">
        <v>165</v>
      </c>
      <c r="G57" s="1227">
        <v>432</v>
      </c>
      <c r="H57" s="1230">
        <v>0</v>
      </c>
      <c r="I57" s="980">
        <f t="shared" si="34"/>
        <v>597</v>
      </c>
      <c r="J57" s="602">
        <f t="shared" si="35"/>
        <v>8.7431693989071038E-2</v>
      </c>
      <c r="K57" s="580">
        <v>276</v>
      </c>
      <c r="L57" s="581">
        <v>537</v>
      </c>
      <c r="M57" s="581">
        <v>0</v>
      </c>
      <c r="N57" s="581">
        <f t="shared" si="36"/>
        <v>813</v>
      </c>
      <c r="O57" s="155">
        <f t="shared" si="31"/>
        <v>0.36180904522613067</v>
      </c>
      <c r="P57" s="154">
        <v>399</v>
      </c>
      <c r="Q57" s="154">
        <v>504</v>
      </c>
      <c r="R57" s="581">
        <v>0</v>
      </c>
      <c r="S57" s="154">
        <f t="shared" si="37"/>
        <v>903</v>
      </c>
      <c r="T57" s="602">
        <f t="shared" si="38"/>
        <v>0.11070110701107011</v>
      </c>
      <c r="U57" s="154">
        <v>441</v>
      </c>
      <c r="V57" s="154">
        <v>441</v>
      </c>
      <c r="W57" s="581">
        <v>0</v>
      </c>
      <c r="X57" s="154">
        <f t="shared" si="39"/>
        <v>882</v>
      </c>
      <c r="Y57" s="155">
        <f t="shared" si="40"/>
        <v>-2.3255813953488372E-2</v>
      </c>
      <c r="Z57" s="154">
        <v>426</v>
      </c>
      <c r="AA57" s="154">
        <v>463</v>
      </c>
      <c r="AB57" s="581">
        <v>0</v>
      </c>
      <c r="AC57" s="154">
        <f t="shared" si="41"/>
        <v>889</v>
      </c>
      <c r="AD57" s="567">
        <f t="shared" si="42"/>
        <v>7.9365079365079361E-3</v>
      </c>
      <c r="AE57" s="328"/>
      <c r="AF57" s="328"/>
      <c r="AG57" s="328"/>
      <c r="AH57" s="328"/>
      <c r="AI57" s="328"/>
      <c r="AJ57" s="328"/>
      <c r="AK57" s="328"/>
      <c r="AL57" s="328"/>
    </row>
    <row r="58" spans="1:256" x14ac:dyDescent="0.25">
      <c r="A58" s="566" t="s">
        <v>985</v>
      </c>
      <c r="B58" s="1227">
        <v>408</v>
      </c>
      <c r="C58" s="1227">
        <v>0</v>
      </c>
      <c r="D58" s="1230">
        <v>0</v>
      </c>
      <c r="E58" s="745">
        <f t="shared" si="33"/>
        <v>408</v>
      </c>
      <c r="F58" s="1227">
        <v>456</v>
      </c>
      <c r="G58" s="1227">
        <v>0</v>
      </c>
      <c r="H58" s="1230">
        <v>0</v>
      </c>
      <c r="I58" s="980">
        <f t="shared" si="34"/>
        <v>456</v>
      </c>
      <c r="J58" s="602">
        <f t="shared" si="35"/>
        <v>0.11764705882352941</v>
      </c>
      <c r="K58" s="580">
        <v>648</v>
      </c>
      <c r="L58" s="581">
        <v>0</v>
      </c>
      <c r="M58" s="581">
        <v>0</v>
      </c>
      <c r="N58" s="581">
        <f t="shared" si="36"/>
        <v>648</v>
      </c>
      <c r="O58" s="155">
        <f t="shared" si="31"/>
        <v>0.42105263157894735</v>
      </c>
      <c r="P58" s="154">
        <v>624</v>
      </c>
      <c r="Q58" s="154">
        <v>0</v>
      </c>
      <c r="R58" s="581">
        <v>0</v>
      </c>
      <c r="S58" s="154">
        <f t="shared" si="37"/>
        <v>624</v>
      </c>
      <c r="T58" s="602">
        <f t="shared" si="38"/>
        <v>-3.7037037037037035E-2</v>
      </c>
      <c r="U58" s="154">
        <v>516</v>
      </c>
      <c r="V58" s="154">
        <v>0</v>
      </c>
      <c r="W58" s="581">
        <v>0</v>
      </c>
      <c r="X58" s="154">
        <f t="shared" si="39"/>
        <v>516</v>
      </c>
      <c r="Y58" s="155">
        <f t="shared" si="40"/>
        <v>-0.17307692307692307</v>
      </c>
      <c r="Z58" s="154">
        <v>426</v>
      </c>
      <c r="AA58" s="154">
        <v>0</v>
      </c>
      <c r="AB58" s="581">
        <v>0</v>
      </c>
      <c r="AC58" s="154">
        <f t="shared" si="41"/>
        <v>426</v>
      </c>
      <c r="AD58" s="567">
        <f t="shared" si="42"/>
        <v>-0.1744186046511628</v>
      </c>
      <c r="AE58" s="328"/>
      <c r="AF58" s="328"/>
      <c r="AG58" s="328"/>
      <c r="AH58" s="328"/>
      <c r="AI58" s="328"/>
      <c r="AJ58" s="328"/>
      <c r="AK58" s="328"/>
      <c r="AL58" s="328"/>
    </row>
    <row r="59" spans="1:256" x14ac:dyDescent="0.25">
      <c r="A59" s="566" t="s">
        <v>986</v>
      </c>
      <c r="B59" s="1227">
        <v>340</v>
      </c>
      <c r="C59" s="1227">
        <v>82</v>
      </c>
      <c r="D59" s="1230">
        <v>0</v>
      </c>
      <c r="E59" s="745">
        <f t="shared" si="33"/>
        <v>422</v>
      </c>
      <c r="F59" s="1227">
        <v>446</v>
      </c>
      <c r="G59" s="1227">
        <v>134</v>
      </c>
      <c r="H59" s="1230">
        <v>0</v>
      </c>
      <c r="I59" s="980">
        <f t="shared" si="34"/>
        <v>580</v>
      </c>
      <c r="J59" s="602">
        <f t="shared" si="35"/>
        <v>0.37440758293838861</v>
      </c>
      <c r="K59" s="580">
        <v>416</v>
      </c>
      <c r="L59" s="581">
        <v>157</v>
      </c>
      <c r="M59" s="581">
        <v>0</v>
      </c>
      <c r="N59" s="581">
        <f t="shared" si="36"/>
        <v>573</v>
      </c>
      <c r="O59" s="155">
        <f t="shared" si="31"/>
        <v>-1.2068965517241379E-2</v>
      </c>
      <c r="P59" s="154">
        <v>519</v>
      </c>
      <c r="Q59" s="154">
        <v>157</v>
      </c>
      <c r="R59" s="581">
        <v>0</v>
      </c>
      <c r="S59" s="154">
        <f t="shared" si="37"/>
        <v>676</v>
      </c>
      <c r="T59" s="602">
        <f t="shared" si="38"/>
        <v>0.17975567190226877</v>
      </c>
      <c r="U59" s="154">
        <v>546</v>
      </c>
      <c r="V59" s="154">
        <v>158</v>
      </c>
      <c r="W59" s="581">
        <v>0</v>
      </c>
      <c r="X59" s="154">
        <f t="shared" si="39"/>
        <v>704</v>
      </c>
      <c r="Y59" s="155">
        <f t="shared" si="40"/>
        <v>4.142011834319527E-2</v>
      </c>
      <c r="Z59" s="154">
        <v>438</v>
      </c>
      <c r="AA59" s="154">
        <v>130</v>
      </c>
      <c r="AB59" s="581">
        <v>0</v>
      </c>
      <c r="AC59" s="154">
        <f t="shared" si="41"/>
        <v>568</v>
      </c>
      <c r="AD59" s="567">
        <f t="shared" si="42"/>
        <v>-0.19318181818181818</v>
      </c>
      <c r="AE59" s="328"/>
      <c r="AF59" s="328"/>
      <c r="AG59" s="328"/>
      <c r="AH59" s="328"/>
      <c r="AI59" s="328"/>
      <c r="AJ59" s="328"/>
      <c r="AK59" s="328"/>
      <c r="AL59" s="328"/>
    </row>
    <row r="60" spans="1:256" s="575" customFormat="1" ht="13.8" x14ac:dyDescent="0.25">
      <c r="A60" s="570" t="s">
        <v>961</v>
      </c>
      <c r="B60" s="611">
        <f t="shared" ref="B60:I60" si="43">SUM(B54:B59)</f>
        <v>1018</v>
      </c>
      <c r="C60" s="611">
        <f t="shared" si="43"/>
        <v>653</v>
      </c>
      <c r="D60" s="611">
        <f t="shared" si="43"/>
        <v>0</v>
      </c>
      <c r="E60" s="587">
        <f t="shared" si="43"/>
        <v>1671</v>
      </c>
      <c r="F60" s="611">
        <f t="shared" si="43"/>
        <v>1165</v>
      </c>
      <c r="G60" s="611">
        <f t="shared" si="43"/>
        <v>724</v>
      </c>
      <c r="H60" s="611">
        <f t="shared" si="43"/>
        <v>0</v>
      </c>
      <c r="I60" s="1113">
        <f t="shared" si="43"/>
        <v>1889</v>
      </c>
      <c r="J60" s="731">
        <f t="shared" si="35"/>
        <v>0.13046080191502094</v>
      </c>
      <c r="K60" s="585">
        <f>SUM(K54:K59)</f>
        <v>1511</v>
      </c>
      <c r="L60" s="586">
        <f>SUM(L54:L59)</f>
        <v>849</v>
      </c>
      <c r="M60" s="586">
        <f>SUM(M54:M59)</f>
        <v>0</v>
      </c>
      <c r="N60" s="586">
        <f>SUM(N54:N59)</f>
        <v>2360</v>
      </c>
      <c r="O60" s="613">
        <f t="shared" si="31"/>
        <v>0.24933827421916357</v>
      </c>
      <c r="P60" s="611">
        <f>SUM(P54:P59)</f>
        <v>1749</v>
      </c>
      <c r="Q60" s="611">
        <f>SUM(Q54:Q59)</f>
        <v>824</v>
      </c>
      <c r="R60" s="611">
        <f>SUM(R54:R59)</f>
        <v>0</v>
      </c>
      <c r="S60" s="586">
        <f>SUM(S54:S59)</f>
        <v>2573</v>
      </c>
      <c r="T60" s="731">
        <f t="shared" si="38"/>
        <v>9.02542372881356E-2</v>
      </c>
      <c r="U60" s="611">
        <f>SUM(U54:U59)</f>
        <v>1797</v>
      </c>
      <c r="V60" s="611">
        <f>SUM(V54:V59)</f>
        <v>744</v>
      </c>
      <c r="W60" s="611">
        <f>SUM(W54:W59)</f>
        <v>0</v>
      </c>
      <c r="X60" s="586">
        <f>SUM(X54:X59)</f>
        <v>2541</v>
      </c>
      <c r="Y60" s="613">
        <f t="shared" si="40"/>
        <v>-1.2436844150796735E-2</v>
      </c>
      <c r="Z60" s="611">
        <f>SUM(Z54:Z59)</f>
        <v>1527</v>
      </c>
      <c r="AA60" s="611">
        <f>SUM(AA54:AA59)</f>
        <v>731</v>
      </c>
      <c r="AB60" s="611">
        <f>SUM(AB54:AB59)</f>
        <v>0</v>
      </c>
      <c r="AC60" s="586">
        <f>SUM(AC54:AC59)</f>
        <v>2258</v>
      </c>
      <c r="AD60" s="614">
        <f t="shared" si="42"/>
        <v>-0.11137347500983864</v>
      </c>
    </row>
    <row r="61" spans="1:256" x14ac:dyDescent="0.25">
      <c r="A61" s="576" t="s">
        <v>413</v>
      </c>
      <c r="B61" s="151"/>
      <c r="C61" s="152"/>
      <c r="D61" s="152"/>
      <c r="E61" s="153"/>
      <c r="F61" s="151"/>
      <c r="G61" s="152"/>
      <c r="H61" s="152"/>
      <c r="I61" s="1251"/>
      <c r="J61" s="330"/>
      <c r="K61" s="605"/>
      <c r="L61" s="578"/>
      <c r="M61" s="578"/>
      <c r="N61" s="578"/>
      <c r="O61" s="153"/>
      <c r="P61" s="151"/>
      <c r="Q61" s="152"/>
      <c r="R61" s="152"/>
      <c r="S61" s="152"/>
      <c r="T61" s="153"/>
      <c r="U61" s="151"/>
      <c r="V61" s="152"/>
      <c r="W61" s="152"/>
      <c r="X61" s="152"/>
      <c r="Y61" s="153"/>
      <c r="Z61" s="151"/>
      <c r="AA61" s="152"/>
      <c r="AB61" s="152"/>
      <c r="AC61" s="152"/>
      <c r="AD61" s="565"/>
      <c r="AE61" s="328"/>
      <c r="AF61" s="328"/>
      <c r="AG61" s="328"/>
      <c r="AH61" s="328"/>
      <c r="AI61" s="328"/>
      <c r="AJ61" s="328"/>
      <c r="AK61" s="328"/>
      <c r="AL61" s="328"/>
    </row>
    <row r="62" spans="1:256" x14ac:dyDescent="0.25">
      <c r="A62" s="566" t="s">
        <v>983</v>
      </c>
      <c r="B62" s="1227">
        <v>36</v>
      </c>
      <c r="C62" s="1227">
        <v>19</v>
      </c>
      <c r="D62" s="1230">
        <v>0</v>
      </c>
      <c r="E62" s="745">
        <f>SUM(B62:D62)</f>
        <v>55</v>
      </c>
      <c r="F62" s="1227">
        <v>47</v>
      </c>
      <c r="G62" s="1227">
        <v>22</v>
      </c>
      <c r="H62" s="1230">
        <v>0</v>
      </c>
      <c r="I62" s="980">
        <f>SUM(F62:H62)</f>
        <v>69</v>
      </c>
      <c r="J62" s="602">
        <f t="shared" ref="J62:J67" si="44">IF(E62&gt;0,(I62-E62)/E62,(IF(I62=0,"N/A",100%)))</f>
        <v>0.25454545454545452</v>
      </c>
      <c r="K62" s="580">
        <v>34</v>
      </c>
      <c r="L62" s="581">
        <v>20</v>
      </c>
      <c r="M62" s="581">
        <v>0</v>
      </c>
      <c r="N62" s="581">
        <f>SUM(K62:M62)</f>
        <v>54</v>
      </c>
      <c r="O62" s="155">
        <f t="shared" si="31"/>
        <v>-0.21739130434782608</v>
      </c>
      <c r="P62" s="154">
        <v>39</v>
      </c>
      <c r="Q62" s="154">
        <v>18</v>
      </c>
      <c r="R62" s="581">
        <v>0</v>
      </c>
      <c r="S62" s="154">
        <f>SUM(P62:R62)</f>
        <v>57</v>
      </c>
      <c r="T62" s="602">
        <f t="shared" ref="T62:T67" si="45">IF(N62&gt;0,(S62-N62)/N62,(IF(S62=0,"N/A",100%)))</f>
        <v>5.5555555555555552E-2</v>
      </c>
      <c r="U62" s="154">
        <v>35</v>
      </c>
      <c r="V62" s="154">
        <v>19</v>
      </c>
      <c r="W62" s="581">
        <v>0</v>
      </c>
      <c r="X62" s="154">
        <f>SUM(U62:W62)</f>
        <v>54</v>
      </c>
      <c r="Y62" s="155">
        <f t="shared" ref="Y62:Y67" si="46">IF(S62&gt;0,(X62-S62)/S62,(IF(X62=0,"N/A",100%)))</f>
        <v>-5.2631578947368418E-2</v>
      </c>
      <c r="Z62" s="154">
        <v>0</v>
      </c>
      <c r="AA62" s="154">
        <v>0</v>
      </c>
      <c r="AB62" s="581">
        <v>0</v>
      </c>
      <c r="AC62" s="154">
        <f>SUM(Z62:AB62)</f>
        <v>0</v>
      </c>
      <c r="AD62" s="567">
        <f t="shared" ref="AD62:AD67" si="47">IF(X62&gt;0,(AC62-X62)/X62,(IF(AC62=0,"N/A",100%)))</f>
        <v>-1</v>
      </c>
      <c r="AE62" s="328"/>
      <c r="AF62" s="328"/>
      <c r="AG62" s="328"/>
      <c r="AH62" s="328"/>
      <c r="AI62" s="328"/>
      <c r="AJ62" s="328"/>
      <c r="AK62" s="328"/>
      <c r="AL62" s="328"/>
    </row>
    <row r="63" spans="1:256" x14ac:dyDescent="0.25">
      <c r="A63" s="566" t="s">
        <v>984</v>
      </c>
      <c r="B63" s="1227">
        <v>704</v>
      </c>
      <c r="C63" s="1227">
        <v>145</v>
      </c>
      <c r="D63" s="1230">
        <v>0</v>
      </c>
      <c r="E63" s="745">
        <f>SUM(B63:D63)</f>
        <v>849</v>
      </c>
      <c r="F63" s="1227">
        <v>709</v>
      </c>
      <c r="G63" s="1227">
        <v>162</v>
      </c>
      <c r="H63" s="1230">
        <v>0</v>
      </c>
      <c r="I63" s="980">
        <f>SUM(F63:H63)</f>
        <v>871</v>
      </c>
      <c r="J63" s="602">
        <f t="shared" si="44"/>
        <v>2.591283863368669E-2</v>
      </c>
      <c r="K63" s="580">
        <v>870</v>
      </c>
      <c r="L63" s="581">
        <v>155</v>
      </c>
      <c r="M63" s="581">
        <v>0</v>
      </c>
      <c r="N63" s="581">
        <f>SUM(K63:M63)</f>
        <v>1025</v>
      </c>
      <c r="O63" s="155">
        <f t="shared" si="31"/>
        <v>0.17680826636050517</v>
      </c>
      <c r="P63" s="154">
        <v>778</v>
      </c>
      <c r="Q63" s="154">
        <v>81</v>
      </c>
      <c r="R63" s="581">
        <v>0</v>
      </c>
      <c r="S63" s="154">
        <f>SUM(P63:R63)</f>
        <v>859</v>
      </c>
      <c r="T63" s="602">
        <f t="shared" si="45"/>
        <v>-0.16195121951219513</v>
      </c>
      <c r="U63" s="154">
        <v>593</v>
      </c>
      <c r="V63" s="154">
        <v>124</v>
      </c>
      <c r="W63" s="581">
        <v>0</v>
      </c>
      <c r="X63" s="154">
        <f>SUM(U63:W63)</f>
        <v>717</v>
      </c>
      <c r="Y63" s="155">
        <f t="shared" si="46"/>
        <v>-0.16530849825378346</v>
      </c>
      <c r="Z63" s="154">
        <v>551</v>
      </c>
      <c r="AA63" s="154">
        <v>112</v>
      </c>
      <c r="AB63" s="581">
        <v>0</v>
      </c>
      <c r="AC63" s="154">
        <f>SUM(Z63:AB63)</f>
        <v>663</v>
      </c>
      <c r="AD63" s="567">
        <f t="shared" si="47"/>
        <v>-7.5313807531380755E-2</v>
      </c>
      <c r="AE63" s="328"/>
      <c r="AF63" s="328"/>
      <c r="AG63" s="328"/>
      <c r="AH63" s="328"/>
      <c r="AI63" s="328"/>
      <c r="AJ63" s="328"/>
      <c r="AK63" s="328"/>
      <c r="AL63" s="328"/>
    </row>
    <row r="64" spans="1:256" x14ac:dyDescent="0.25">
      <c r="A64" s="566" t="s">
        <v>1518</v>
      </c>
      <c r="B64" s="1227"/>
      <c r="C64" s="1227"/>
      <c r="D64" s="1227"/>
      <c r="E64" s="745"/>
      <c r="F64" s="1227">
        <v>0</v>
      </c>
      <c r="G64" s="1227">
        <v>0</v>
      </c>
      <c r="H64" s="1227">
        <v>0</v>
      </c>
      <c r="I64" s="980">
        <f>SUM(F64:H64)</f>
        <v>0</v>
      </c>
      <c r="J64" s="602" t="str">
        <f t="shared" si="44"/>
        <v>N/A</v>
      </c>
      <c r="K64" s="580">
        <v>0</v>
      </c>
      <c r="L64" s="581">
        <v>0</v>
      </c>
      <c r="M64" s="581">
        <v>0</v>
      </c>
      <c r="N64" s="581">
        <f>SUM(K64:M64)</f>
        <v>0</v>
      </c>
      <c r="O64" s="155" t="str">
        <f t="shared" si="31"/>
        <v>N/A</v>
      </c>
      <c r="P64" s="154">
        <v>0</v>
      </c>
      <c r="Q64" s="154">
        <v>0</v>
      </c>
      <c r="R64" s="154">
        <v>0</v>
      </c>
      <c r="S64" s="154">
        <f t="shared" ref="S64:S66" si="48">SUM(P64:R64)</f>
        <v>0</v>
      </c>
      <c r="T64" s="602" t="str">
        <f t="shared" si="45"/>
        <v>N/A</v>
      </c>
      <c r="U64" s="154">
        <v>0</v>
      </c>
      <c r="V64" s="154">
        <v>0</v>
      </c>
      <c r="W64" s="154">
        <v>0</v>
      </c>
      <c r="X64" s="154">
        <f>SUM(U64:W64)</f>
        <v>0</v>
      </c>
      <c r="Y64" s="155" t="str">
        <f t="shared" si="46"/>
        <v>N/A</v>
      </c>
      <c r="Z64" s="154">
        <v>7</v>
      </c>
      <c r="AA64" s="154">
        <v>7</v>
      </c>
      <c r="AB64" s="154">
        <v>0</v>
      </c>
      <c r="AC64" s="154">
        <f>SUM(Z64:AB64)</f>
        <v>14</v>
      </c>
      <c r="AD64" s="567">
        <f t="shared" si="47"/>
        <v>1</v>
      </c>
      <c r="AE64" s="328"/>
      <c r="AF64" s="328"/>
      <c r="AG64" s="328"/>
      <c r="AH64" s="328"/>
      <c r="AI64" s="328"/>
      <c r="AJ64" s="328"/>
      <c r="AK64" s="328"/>
      <c r="AL64" s="328"/>
    </row>
    <row r="65" spans="1:38" x14ac:dyDescent="0.25">
      <c r="A65" s="566" t="s">
        <v>1519</v>
      </c>
      <c r="B65" s="1227"/>
      <c r="C65" s="1227"/>
      <c r="D65" s="1227"/>
      <c r="E65" s="745"/>
      <c r="F65" s="1227">
        <v>0</v>
      </c>
      <c r="G65" s="1227">
        <v>0</v>
      </c>
      <c r="H65" s="1227">
        <v>0</v>
      </c>
      <c r="I65" s="980">
        <f>SUM(F65:H65)</f>
        <v>0</v>
      </c>
      <c r="J65" s="602" t="str">
        <f t="shared" si="44"/>
        <v>N/A</v>
      </c>
      <c r="K65" s="580">
        <v>0</v>
      </c>
      <c r="L65" s="581">
        <v>0</v>
      </c>
      <c r="M65" s="581">
        <v>0</v>
      </c>
      <c r="N65" s="581">
        <f>SUM(K65:M65)</f>
        <v>0</v>
      </c>
      <c r="O65" s="155" t="str">
        <f t="shared" si="31"/>
        <v>N/A</v>
      </c>
      <c r="P65" s="154">
        <v>0</v>
      </c>
      <c r="Q65" s="154">
        <v>0</v>
      </c>
      <c r="R65" s="154">
        <v>0</v>
      </c>
      <c r="S65" s="154">
        <f t="shared" si="48"/>
        <v>0</v>
      </c>
      <c r="T65" s="602" t="str">
        <f t="shared" si="45"/>
        <v>N/A</v>
      </c>
      <c r="U65" s="154">
        <v>0</v>
      </c>
      <c r="V65" s="154">
        <v>0</v>
      </c>
      <c r="W65" s="154">
        <v>0</v>
      </c>
      <c r="X65" s="154">
        <f>SUM(U65:W65)</f>
        <v>0</v>
      </c>
      <c r="Y65" s="155" t="str">
        <f t="shared" si="46"/>
        <v>N/A</v>
      </c>
      <c r="Z65" s="154">
        <v>25</v>
      </c>
      <c r="AA65" s="154">
        <v>9</v>
      </c>
      <c r="AB65" s="154">
        <v>0</v>
      </c>
      <c r="AC65" s="154">
        <f>SUM(Z65:AB65)</f>
        <v>34</v>
      </c>
      <c r="AD65" s="567">
        <f t="shared" si="47"/>
        <v>1</v>
      </c>
      <c r="AE65" s="328"/>
      <c r="AF65" s="328"/>
      <c r="AG65" s="328"/>
      <c r="AH65" s="328"/>
      <c r="AI65" s="328"/>
      <c r="AJ65" s="328"/>
      <c r="AK65" s="328"/>
      <c r="AL65" s="328"/>
    </row>
    <row r="66" spans="1:38" x14ac:dyDescent="0.25">
      <c r="A66" s="566" t="s">
        <v>1520</v>
      </c>
      <c r="B66" s="1227"/>
      <c r="C66" s="1227"/>
      <c r="D66" s="1227"/>
      <c r="E66" s="745"/>
      <c r="F66" s="1227">
        <v>0</v>
      </c>
      <c r="G66" s="1227">
        <v>0</v>
      </c>
      <c r="H66" s="1227">
        <v>0</v>
      </c>
      <c r="I66" s="980">
        <f>SUM(F66:H66)</f>
        <v>0</v>
      </c>
      <c r="J66" s="602" t="str">
        <f t="shared" si="44"/>
        <v>N/A</v>
      </c>
      <c r="K66" s="580">
        <v>0</v>
      </c>
      <c r="L66" s="581">
        <v>0</v>
      </c>
      <c r="M66" s="581">
        <v>0</v>
      </c>
      <c r="N66" s="581">
        <f>SUM(K66:M66)</f>
        <v>0</v>
      </c>
      <c r="O66" s="155" t="str">
        <f t="shared" si="31"/>
        <v>N/A</v>
      </c>
      <c r="P66" s="154">
        <v>0</v>
      </c>
      <c r="Q66" s="154">
        <v>0</v>
      </c>
      <c r="R66" s="154">
        <v>0</v>
      </c>
      <c r="S66" s="154">
        <f t="shared" si="48"/>
        <v>0</v>
      </c>
      <c r="T66" s="602" t="str">
        <f t="shared" si="45"/>
        <v>N/A</v>
      </c>
      <c r="U66" s="154">
        <v>0</v>
      </c>
      <c r="V66" s="154">
        <v>0</v>
      </c>
      <c r="W66" s="154">
        <v>0</v>
      </c>
      <c r="X66" s="154">
        <f>SUM(U66:W66)</f>
        <v>0</v>
      </c>
      <c r="Y66" s="155" t="str">
        <f t="shared" si="46"/>
        <v>N/A</v>
      </c>
      <c r="Z66" s="154">
        <v>14</v>
      </c>
      <c r="AA66" s="154">
        <v>6</v>
      </c>
      <c r="AB66" s="154">
        <v>0</v>
      </c>
      <c r="AC66" s="154">
        <f>SUM(Z66:AB66)</f>
        <v>20</v>
      </c>
      <c r="AD66" s="567">
        <f t="shared" si="47"/>
        <v>1</v>
      </c>
      <c r="AE66" s="328"/>
      <c r="AF66" s="328"/>
      <c r="AG66" s="328"/>
      <c r="AH66" s="328"/>
      <c r="AI66" s="328"/>
      <c r="AJ66" s="328"/>
      <c r="AK66" s="328"/>
      <c r="AL66" s="328"/>
    </row>
    <row r="67" spans="1:38" s="575" customFormat="1" ht="13.8" x14ac:dyDescent="0.25">
      <c r="A67" s="615" t="s">
        <v>961</v>
      </c>
      <c r="B67" s="611">
        <f>+B63+B62</f>
        <v>740</v>
      </c>
      <c r="C67" s="611">
        <f>+C63+C62</f>
        <v>164</v>
      </c>
      <c r="D67" s="611">
        <f>+D63+D62</f>
        <v>0</v>
      </c>
      <c r="E67" s="748">
        <f>+E63+E62</f>
        <v>904</v>
      </c>
      <c r="F67" s="611">
        <f>SUM(F62:F66)</f>
        <v>756</v>
      </c>
      <c r="G67" s="611">
        <f>SUM(G62:G66)</f>
        <v>184</v>
      </c>
      <c r="H67" s="611">
        <f>SUM(H62:H66)</f>
        <v>0</v>
      </c>
      <c r="I67" s="611">
        <f>SUM(I62:I66)</f>
        <v>940</v>
      </c>
      <c r="J67" s="731">
        <f t="shared" si="44"/>
        <v>3.9823008849557522E-2</v>
      </c>
      <c r="K67" s="611">
        <f>SUM(K62:K66)</f>
        <v>904</v>
      </c>
      <c r="L67" s="611">
        <f>SUM(L62:L66)</f>
        <v>175</v>
      </c>
      <c r="M67" s="611">
        <f>SUM(M62:M66)</f>
        <v>0</v>
      </c>
      <c r="N67" s="611">
        <f>SUM(N62:N66)</f>
        <v>1079</v>
      </c>
      <c r="O67" s="613">
        <f t="shared" si="31"/>
        <v>0.14787234042553191</v>
      </c>
      <c r="P67" s="611">
        <f>SUM(P62:P66)</f>
        <v>817</v>
      </c>
      <c r="Q67" s="611">
        <f>SUM(Q62:Q66)</f>
        <v>99</v>
      </c>
      <c r="R67" s="611">
        <f>SUM(R62:R66)</f>
        <v>0</v>
      </c>
      <c r="S67" s="611">
        <f>SUM(S62:S66)</f>
        <v>916</v>
      </c>
      <c r="T67" s="731">
        <f t="shared" si="45"/>
        <v>-0.15106580166821132</v>
      </c>
      <c r="U67" s="611">
        <f>SUM(U62:U66)</f>
        <v>628</v>
      </c>
      <c r="V67" s="611">
        <f>SUM(V62:V66)</f>
        <v>143</v>
      </c>
      <c r="W67" s="611">
        <f>SUM(W62:W66)</f>
        <v>0</v>
      </c>
      <c r="X67" s="611">
        <f>SUM(X62:X66)</f>
        <v>771</v>
      </c>
      <c r="Y67" s="613">
        <f t="shared" si="46"/>
        <v>-0.15829694323144106</v>
      </c>
      <c r="Z67" s="611">
        <f>SUM(Z62:Z66)</f>
        <v>597</v>
      </c>
      <c r="AA67" s="611">
        <f>SUM(AA62:AA66)</f>
        <v>134</v>
      </c>
      <c r="AB67" s="611">
        <f>SUM(AB62:AB66)</f>
        <v>0</v>
      </c>
      <c r="AC67" s="611">
        <f>SUM(AC62:AC66)</f>
        <v>731</v>
      </c>
      <c r="AD67" s="614">
        <f t="shared" si="47"/>
        <v>-5.1880674448767837E-2</v>
      </c>
    </row>
    <row r="68" spans="1:38" x14ac:dyDescent="0.25">
      <c r="A68" s="564" t="s">
        <v>428</v>
      </c>
      <c r="B68" s="151"/>
      <c r="C68" s="152"/>
      <c r="D68" s="152"/>
      <c r="E68" s="153"/>
      <c r="F68" s="151"/>
      <c r="G68" s="152"/>
      <c r="H68" s="152"/>
      <c r="I68" s="1251"/>
      <c r="J68" s="330"/>
      <c r="K68" s="605"/>
      <c r="L68" s="578"/>
      <c r="M68" s="578"/>
      <c r="N68" s="578"/>
      <c r="O68" s="153"/>
      <c r="P68" s="151"/>
      <c r="Q68" s="152"/>
      <c r="R68" s="152"/>
      <c r="S68" s="152"/>
      <c r="T68" s="153"/>
      <c r="U68" s="151"/>
      <c r="V68" s="152"/>
      <c r="W68" s="152"/>
      <c r="X68" s="152"/>
      <c r="Y68" s="153"/>
      <c r="Z68" s="753"/>
      <c r="AA68" s="753"/>
      <c r="AB68" s="152"/>
      <c r="AC68" s="152"/>
      <c r="AD68" s="565"/>
      <c r="AE68" s="328"/>
      <c r="AF68" s="328"/>
      <c r="AG68" s="328"/>
      <c r="AH68" s="328"/>
      <c r="AI68" s="328"/>
      <c r="AJ68" s="328"/>
      <c r="AK68" s="328"/>
      <c r="AL68" s="328"/>
    </row>
    <row r="69" spans="1:38" x14ac:dyDescent="0.25">
      <c r="A69" s="666" t="s">
        <v>992</v>
      </c>
      <c r="B69" s="1227">
        <v>0</v>
      </c>
      <c r="C69" s="1227">
        <v>0</v>
      </c>
      <c r="D69" s="1230">
        <v>0</v>
      </c>
      <c r="E69" s="745">
        <f>SUM(B69:D69)</f>
        <v>0</v>
      </c>
      <c r="F69" s="1227">
        <v>78</v>
      </c>
      <c r="G69" s="1227">
        <v>0</v>
      </c>
      <c r="H69" s="1230">
        <v>0</v>
      </c>
      <c r="I69" s="980">
        <f>SUM(F69:H69)</f>
        <v>78</v>
      </c>
      <c r="J69" s="602">
        <f t="shared" ref="J69:J74" si="49">IF(E69&gt;0,(I69-E69)/E69,(IF(I69=0,"N/A",100%)))</f>
        <v>1</v>
      </c>
      <c r="K69" s="580">
        <v>0</v>
      </c>
      <c r="L69" s="581">
        <v>0</v>
      </c>
      <c r="M69" s="581">
        <v>0</v>
      </c>
      <c r="N69" s="581">
        <f>SUM(K69:M69)</f>
        <v>0</v>
      </c>
      <c r="O69" s="155">
        <f t="shared" si="31"/>
        <v>-1</v>
      </c>
      <c r="P69" s="154">
        <v>111</v>
      </c>
      <c r="Q69" s="154">
        <v>0</v>
      </c>
      <c r="R69" s="581">
        <v>0</v>
      </c>
      <c r="S69" s="154">
        <f>SUM(P69:R69)</f>
        <v>111</v>
      </c>
      <c r="T69" s="602">
        <f t="shared" ref="T69:T74" si="50">IF(N69&gt;0,(S69-N69)/N69,(IF(S69=0,"N/A",100%)))</f>
        <v>1</v>
      </c>
      <c r="U69" s="154">
        <v>105</v>
      </c>
      <c r="V69" s="154">
        <v>0</v>
      </c>
      <c r="W69" s="581">
        <v>0</v>
      </c>
      <c r="X69" s="154">
        <f>SUM(U69:W69)</f>
        <v>105</v>
      </c>
      <c r="Y69" s="155">
        <f t="shared" ref="Y69:Y74" si="51">IF(S69&gt;0,(X69-S69)/S69,(IF(X69=0,"N/A",100%)))</f>
        <v>-5.4054054054054057E-2</v>
      </c>
      <c r="Z69" s="154">
        <v>75</v>
      </c>
      <c r="AA69" s="154">
        <v>0</v>
      </c>
      <c r="AB69" s="581">
        <v>0</v>
      </c>
      <c r="AC69" s="154">
        <f>SUM(Z69:AB69)</f>
        <v>75</v>
      </c>
      <c r="AD69" s="567">
        <f t="shared" ref="AD69:AD74" si="52">IF(X69&gt;0,(AC69-X69)/X69,(IF(AC69=0,"N/A",100%)))</f>
        <v>-0.2857142857142857</v>
      </c>
      <c r="AE69" s="328"/>
      <c r="AF69" s="328"/>
      <c r="AG69" s="328"/>
      <c r="AH69" s="328"/>
      <c r="AI69" s="328"/>
      <c r="AJ69" s="328"/>
      <c r="AK69" s="328"/>
      <c r="AL69" s="328"/>
    </row>
    <row r="70" spans="1:38" x14ac:dyDescent="0.25">
      <c r="A70" s="566" t="s">
        <v>987</v>
      </c>
      <c r="B70" s="1227">
        <v>789</v>
      </c>
      <c r="C70" s="1227">
        <v>498</v>
      </c>
      <c r="D70" s="1230">
        <v>0</v>
      </c>
      <c r="E70" s="745">
        <f>SUM(B70:D70)</f>
        <v>1287</v>
      </c>
      <c r="F70" s="1227">
        <v>984</v>
      </c>
      <c r="G70" s="1227">
        <v>415</v>
      </c>
      <c r="H70" s="1230">
        <v>0</v>
      </c>
      <c r="I70" s="980">
        <f>SUM(F70:H70)</f>
        <v>1399</v>
      </c>
      <c r="J70" s="602">
        <f t="shared" si="49"/>
        <v>8.7024087024087024E-2</v>
      </c>
      <c r="K70" s="580">
        <v>1245</v>
      </c>
      <c r="L70" s="581">
        <v>525</v>
      </c>
      <c r="M70" s="581">
        <v>0</v>
      </c>
      <c r="N70" s="581">
        <f>SUM(K70:M70)</f>
        <v>1770</v>
      </c>
      <c r="O70" s="155">
        <f t="shared" si="31"/>
        <v>0.2651894210150107</v>
      </c>
      <c r="P70" s="154">
        <v>1317</v>
      </c>
      <c r="Q70" s="154">
        <v>339</v>
      </c>
      <c r="R70" s="581">
        <v>0</v>
      </c>
      <c r="S70" s="154">
        <f>SUM(P70:R70)</f>
        <v>1656</v>
      </c>
      <c r="T70" s="602">
        <f t="shared" si="50"/>
        <v>-6.4406779661016947E-2</v>
      </c>
      <c r="U70" s="154">
        <v>1035</v>
      </c>
      <c r="V70" s="154">
        <v>435</v>
      </c>
      <c r="W70" s="581">
        <v>0</v>
      </c>
      <c r="X70" s="154">
        <f>SUM(U70:W70)</f>
        <v>1470</v>
      </c>
      <c r="Y70" s="155">
        <f t="shared" si="51"/>
        <v>-0.11231884057971014</v>
      </c>
      <c r="Z70" s="154">
        <v>996</v>
      </c>
      <c r="AA70" s="154">
        <v>567</v>
      </c>
      <c r="AB70" s="581">
        <v>0</v>
      </c>
      <c r="AC70" s="154">
        <f>SUM(Z70:AB70)</f>
        <v>1563</v>
      </c>
      <c r="AD70" s="567">
        <f t="shared" si="52"/>
        <v>6.3265306122448975E-2</v>
      </c>
      <c r="AE70" s="328"/>
      <c r="AF70" s="328"/>
      <c r="AG70" s="328"/>
      <c r="AH70" s="328"/>
      <c r="AI70" s="328"/>
      <c r="AJ70" s="328"/>
      <c r="AK70" s="328"/>
      <c r="AL70" s="328"/>
    </row>
    <row r="71" spans="1:38" x14ac:dyDescent="0.25">
      <c r="A71" s="566" t="s">
        <v>993</v>
      </c>
      <c r="B71" s="1227">
        <v>0</v>
      </c>
      <c r="C71" s="1227">
        <v>354</v>
      </c>
      <c r="D71" s="1230">
        <v>0</v>
      </c>
      <c r="E71" s="745">
        <f>SUM(B71:D71)</f>
        <v>354</v>
      </c>
      <c r="F71" s="1227">
        <v>0</v>
      </c>
      <c r="G71" s="1227">
        <v>297</v>
      </c>
      <c r="H71" s="1230">
        <v>0</v>
      </c>
      <c r="I71" s="980">
        <f>SUM(F71:H71)</f>
        <v>297</v>
      </c>
      <c r="J71" s="602">
        <f t="shared" si="49"/>
        <v>-0.16101694915254236</v>
      </c>
      <c r="K71" s="580">
        <v>0</v>
      </c>
      <c r="L71" s="581">
        <v>204</v>
      </c>
      <c r="M71" s="581">
        <v>0</v>
      </c>
      <c r="N71" s="581">
        <f>SUM(K71:M71)</f>
        <v>204</v>
      </c>
      <c r="O71" s="155">
        <f t="shared" si="31"/>
        <v>-0.31313131313131315</v>
      </c>
      <c r="P71" s="154">
        <v>0</v>
      </c>
      <c r="Q71" s="154">
        <v>105</v>
      </c>
      <c r="R71" s="581">
        <v>0</v>
      </c>
      <c r="S71" s="154">
        <f>SUM(P71:R71)</f>
        <v>105</v>
      </c>
      <c r="T71" s="602">
        <f t="shared" si="50"/>
        <v>-0.48529411764705882</v>
      </c>
      <c r="U71" s="154">
        <v>168</v>
      </c>
      <c r="V71" s="154">
        <v>81</v>
      </c>
      <c r="W71" s="581">
        <v>0</v>
      </c>
      <c r="X71" s="154">
        <f>SUM(U71:W71)</f>
        <v>249</v>
      </c>
      <c r="Y71" s="155">
        <f t="shared" si="51"/>
        <v>1.3714285714285714</v>
      </c>
      <c r="Z71" s="154">
        <v>0</v>
      </c>
      <c r="AA71" s="154">
        <v>156</v>
      </c>
      <c r="AB71" s="581">
        <v>0</v>
      </c>
      <c r="AC71" s="154">
        <f>SUM(Z71:AB71)</f>
        <v>156</v>
      </c>
      <c r="AD71" s="567">
        <f t="shared" si="52"/>
        <v>-0.37349397590361444</v>
      </c>
      <c r="AE71" s="328"/>
      <c r="AF71" s="328"/>
      <c r="AG71" s="328"/>
      <c r="AH71" s="328"/>
      <c r="AI71" s="328"/>
      <c r="AJ71" s="328"/>
      <c r="AK71" s="328"/>
      <c r="AL71" s="328"/>
    </row>
    <row r="72" spans="1:38" x14ac:dyDescent="0.25">
      <c r="A72" s="566" t="s">
        <v>994</v>
      </c>
      <c r="B72" s="1227">
        <v>489</v>
      </c>
      <c r="C72" s="1227">
        <v>81</v>
      </c>
      <c r="D72" s="1230">
        <v>0</v>
      </c>
      <c r="E72" s="745">
        <f>SUM(B72:D72)</f>
        <v>570</v>
      </c>
      <c r="F72" s="1227">
        <v>549</v>
      </c>
      <c r="G72" s="1227">
        <v>87</v>
      </c>
      <c r="H72" s="1230">
        <v>0</v>
      </c>
      <c r="I72" s="980">
        <f>SUM(F72:H72)</f>
        <v>636</v>
      </c>
      <c r="J72" s="602">
        <f t="shared" si="49"/>
        <v>0.11578947368421053</v>
      </c>
      <c r="K72" s="580">
        <v>501</v>
      </c>
      <c r="L72" s="581">
        <v>108</v>
      </c>
      <c r="M72" s="581">
        <v>0</v>
      </c>
      <c r="N72" s="581">
        <f>SUM(K72:M72)</f>
        <v>609</v>
      </c>
      <c r="O72" s="155">
        <f>IF(I72&gt;0,(N72-I72)/I72,(IF(N72=0,"N/A",100%)))</f>
        <v>-4.2452830188679243E-2</v>
      </c>
      <c r="P72" s="154">
        <v>507</v>
      </c>
      <c r="Q72" s="154">
        <v>120</v>
      </c>
      <c r="R72" s="581">
        <v>0</v>
      </c>
      <c r="S72" s="154">
        <f>SUM(P72:R72)</f>
        <v>627</v>
      </c>
      <c r="T72" s="602">
        <f t="shared" si="50"/>
        <v>2.9556650246305417E-2</v>
      </c>
      <c r="U72" s="154">
        <v>504</v>
      </c>
      <c r="V72" s="154">
        <v>87</v>
      </c>
      <c r="W72" s="581">
        <v>0</v>
      </c>
      <c r="X72" s="154">
        <f>SUM(U72:W72)</f>
        <v>591</v>
      </c>
      <c r="Y72" s="155">
        <f t="shared" si="51"/>
        <v>-5.7416267942583733E-2</v>
      </c>
      <c r="Z72" s="154">
        <v>480</v>
      </c>
      <c r="AA72" s="154">
        <v>162</v>
      </c>
      <c r="AB72" s="581">
        <v>0</v>
      </c>
      <c r="AC72" s="154">
        <f>SUM(Z72:AB72)</f>
        <v>642</v>
      </c>
      <c r="AD72" s="567">
        <f t="shared" si="52"/>
        <v>8.6294416243654817E-2</v>
      </c>
      <c r="AE72" s="328"/>
      <c r="AF72" s="328"/>
      <c r="AG72" s="328"/>
      <c r="AH72" s="328"/>
      <c r="AI72" s="328"/>
      <c r="AJ72" s="328"/>
      <c r="AK72" s="328"/>
      <c r="AL72" s="328"/>
    </row>
    <row r="73" spans="1:38" x14ac:dyDescent="0.25">
      <c r="A73" s="967" t="s">
        <v>1376</v>
      </c>
      <c r="B73" s="1227">
        <v>24</v>
      </c>
      <c r="C73" s="1227">
        <v>0</v>
      </c>
      <c r="D73" s="1230">
        <v>0</v>
      </c>
      <c r="E73" s="745">
        <f>SUM(B73:D73)</f>
        <v>24</v>
      </c>
      <c r="F73" s="1227">
        <v>141</v>
      </c>
      <c r="G73" s="1227">
        <v>0</v>
      </c>
      <c r="H73" s="1230">
        <v>0</v>
      </c>
      <c r="I73" s="980">
        <f>SUM(F73:H73)</f>
        <v>141</v>
      </c>
      <c r="J73" s="602">
        <f t="shared" si="49"/>
        <v>4.875</v>
      </c>
      <c r="K73" s="580">
        <v>177</v>
      </c>
      <c r="L73" s="581">
        <v>0</v>
      </c>
      <c r="M73" s="581">
        <v>0</v>
      </c>
      <c r="N73" s="581">
        <f>SUM(K73:M73)</f>
        <v>177</v>
      </c>
      <c r="O73" s="155">
        <f t="shared" si="31"/>
        <v>0.25531914893617019</v>
      </c>
      <c r="P73" s="154">
        <v>171</v>
      </c>
      <c r="Q73" s="154">
        <v>0</v>
      </c>
      <c r="R73" s="581">
        <v>0</v>
      </c>
      <c r="S73" s="154">
        <f>SUM(P73:R73)</f>
        <v>171</v>
      </c>
      <c r="T73" s="602">
        <f t="shared" si="50"/>
        <v>-3.3898305084745763E-2</v>
      </c>
      <c r="U73" s="154">
        <v>126</v>
      </c>
      <c r="V73" s="154">
        <v>0</v>
      </c>
      <c r="W73" s="581">
        <v>0</v>
      </c>
      <c r="X73" s="154">
        <f>SUM(U73:W73)</f>
        <v>126</v>
      </c>
      <c r="Y73" s="155">
        <f t="shared" si="51"/>
        <v>-0.26315789473684209</v>
      </c>
      <c r="Z73" s="154">
        <v>105</v>
      </c>
      <c r="AA73" s="154">
        <v>0</v>
      </c>
      <c r="AB73" s="581">
        <v>0</v>
      </c>
      <c r="AC73" s="154">
        <f>SUM(Z73:AB73)</f>
        <v>105</v>
      </c>
      <c r="AD73" s="567">
        <f t="shared" si="52"/>
        <v>-0.16666666666666666</v>
      </c>
      <c r="AE73" s="328"/>
      <c r="AF73" s="328"/>
      <c r="AG73" s="328"/>
      <c r="AH73" s="328"/>
      <c r="AI73" s="328"/>
      <c r="AJ73" s="328"/>
      <c r="AK73" s="328"/>
      <c r="AL73" s="328"/>
    </row>
    <row r="74" spans="1:38" s="575" customFormat="1" ht="13.8" x14ac:dyDescent="0.25">
      <c r="A74" s="615" t="s">
        <v>961</v>
      </c>
      <c r="B74" s="611">
        <f t="shared" ref="B74:I74" si="53">SUM(B69:B73)</f>
        <v>1302</v>
      </c>
      <c r="C74" s="611">
        <f t="shared" si="53"/>
        <v>933</v>
      </c>
      <c r="D74" s="611">
        <f t="shared" si="53"/>
        <v>0</v>
      </c>
      <c r="E74" s="612">
        <f t="shared" si="53"/>
        <v>2235</v>
      </c>
      <c r="F74" s="611">
        <f t="shared" si="53"/>
        <v>1752</v>
      </c>
      <c r="G74" s="611">
        <f t="shared" si="53"/>
        <v>799</v>
      </c>
      <c r="H74" s="611">
        <f t="shared" si="53"/>
        <v>0</v>
      </c>
      <c r="I74" s="1270">
        <f t="shared" si="53"/>
        <v>2551</v>
      </c>
      <c r="J74" s="731">
        <f t="shared" si="49"/>
        <v>0.14138702460850111</v>
      </c>
      <c r="K74" s="585">
        <f>SUM(K69:K73)</f>
        <v>1923</v>
      </c>
      <c r="L74" s="586">
        <f>SUM(L69:L73)</f>
        <v>837</v>
      </c>
      <c r="M74" s="586">
        <f>SUM(M69:M73)</f>
        <v>0</v>
      </c>
      <c r="N74" s="586">
        <f>SUM(N69:N73)</f>
        <v>2760</v>
      </c>
      <c r="O74" s="613">
        <f t="shared" si="31"/>
        <v>8.1928655429243435E-2</v>
      </c>
      <c r="P74" s="611">
        <f>SUM(P69:P73)</f>
        <v>2106</v>
      </c>
      <c r="Q74" s="611">
        <f>SUM(Q69:Q73)</f>
        <v>564</v>
      </c>
      <c r="R74" s="611">
        <f>SUM(R69:R73)</f>
        <v>0</v>
      </c>
      <c r="S74" s="612">
        <f>SUM(S69:S73)</f>
        <v>2670</v>
      </c>
      <c r="T74" s="731">
        <f t="shared" si="50"/>
        <v>-3.2608695652173912E-2</v>
      </c>
      <c r="U74" s="611">
        <f>SUM(U69:U73)</f>
        <v>1938</v>
      </c>
      <c r="V74" s="611">
        <f>SUM(V69:V73)</f>
        <v>603</v>
      </c>
      <c r="W74" s="611">
        <f>SUM(W69:W73)</f>
        <v>0</v>
      </c>
      <c r="X74" s="586">
        <f>SUM(X69:X73)</f>
        <v>2541</v>
      </c>
      <c r="Y74" s="613">
        <f t="shared" si="51"/>
        <v>-4.8314606741573035E-2</v>
      </c>
      <c r="Z74" s="611">
        <f>SUM(Z69:Z73)</f>
        <v>1656</v>
      </c>
      <c r="AA74" s="611">
        <f>SUM(AA69:AA73)</f>
        <v>885</v>
      </c>
      <c r="AB74" s="611">
        <f>SUM(AB69:AB73)</f>
        <v>0</v>
      </c>
      <c r="AC74" s="586">
        <f>SUM(AC69:AC73)</f>
        <v>2541</v>
      </c>
      <c r="AD74" s="614">
        <f t="shared" si="52"/>
        <v>0</v>
      </c>
    </row>
    <row r="75" spans="1:38" x14ac:dyDescent="0.25">
      <c r="A75" s="564" t="s">
        <v>409</v>
      </c>
      <c r="B75" s="151"/>
      <c r="C75" s="152"/>
      <c r="D75" s="152"/>
      <c r="E75" s="153"/>
      <c r="F75" s="151"/>
      <c r="G75" s="152"/>
      <c r="H75" s="152"/>
      <c r="I75" s="1251"/>
      <c r="J75" s="330"/>
      <c r="K75" s="605"/>
      <c r="L75" s="578"/>
      <c r="M75" s="578"/>
      <c r="N75" s="578"/>
      <c r="O75" s="153"/>
      <c r="P75" s="151"/>
      <c r="Q75" s="152"/>
      <c r="R75" s="152"/>
      <c r="S75" s="152"/>
      <c r="T75" s="153"/>
      <c r="U75" s="151"/>
      <c r="V75" s="152"/>
      <c r="W75" s="152"/>
      <c r="X75" s="152"/>
      <c r="Y75" s="153"/>
      <c r="Z75" s="151"/>
      <c r="AA75" s="152"/>
      <c r="AB75" s="152"/>
      <c r="AC75" s="152"/>
      <c r="AD75" s="565"/>
      <c r="AE75" s="328"/>
      <c r="AF75" s="328"/>
      <c r="AG75" s="328"/>
      <c r="AH75" s="328"/>
      <c r="AI75" s="328"/>
      <c r="AJ75" s="328"/>
      <c r="AK75" s="328"/>
      <c r="AL75" s="328"/>
    </row>
    <row r="76" spans="1:38" x14ac:dyDescent="0.25">
      <c r="A76" s="566" t="s">
        <v>990</v>
      </c>
      <c r="B76" s="1227">
        <v>2451</v>
      </c>
      <c r="C76" s="1227">
        <v>267</v>
      </c>
      <c r="D76" s="1230">
        <v>0</v>
      </c>
      <c r="E76" s="745">
        <f>SUM(B76:D76)</f>
        <v>2718</v>
      </c>
      <c r="F76" s="1227">
        <v>2835</v>
      </c>
      <c r="G76" s="1227">
        <v>267</v>
      </c>
      <c r="H76" s="1230">
        <v>0</v>
      </c>
      <c r="I76" s="980">
        <f>SUM(F76:H76)</f>
        <v>3102</v>
      </c>
      <c r="J76" s="602">
        <f>IF(E76&gt;0,(I76-E76)/E76,(IF(I76=0,"N/A",100%)))</f>
        <v>0.141280353200883</v>
      </c>
      <c r="K76" s="580">
        <v>3327</v>
      </c>
      <c r="L76" s="581">
        <v>295</v>
      </c>
      <c r="M76" s="581">
        <v>0</v>
      </c>
      <c r="N76" s="581">
        <f>SUM(K76:M76)</f>
        <v>3622</v>
      </c>
      <c r="O76" s="155">
        <f t="shared" si="31"/>
        <v>0.16763378465506126</v>
      </c>
      <c r="P76" s="512">
        <v>3531</v>
      </c>
      <c r="Q76" s="154">
        <v>304</v>
      </c>
      <c r="R76" s="581">
        <v>0</v>
      </c>
      <c r="S76" s="154">
        <f>SUM(P76:R76)</f>
        <v>3835</v>
      </c>
      <c r="T76" s="602">
        <f>IF(N76&gt;0,(S76-N76)/N76,(IF(S76=0,"N/A",100%)))</f>
        <v>5.8807288790723354E-2</v>
      </c>
      <c r="U76" s="154">
        <v>3805</v>
      </c>
      <c r="V76" s="154">
        <v>231</v>
      </c>
      <c r="W76" s="581">
        <v>0</v>
      </c>
      <c r="X76" s="154">
        <f>SUM(U76:W76)</f>
        <v>4036</v>
      </c>
      <c r="Y76" s="155">
        <f>IF(S76&gt;0,(X76-S76)/S76,(IF(X76=0,"N/A",100%)))</f>
        <v>5.241199478487614E-2</v>
      </c>
      <c r="Z76" s="154">
        <v>3475</v>
      </c>
      <c r="AA76" s="154">
        <v>333</v>
      </c>
      <c r="AB76" s="581">
        <v>0</v>
      </c>
      <c r="AC76" s="154">
        <f>SUM(Z76:AB76)</f>
        <v>3808</v>
      </c>
      <c r="AD76" s="567">
        <f>IF(X76&gt;0,(AC76-X76)/X76,(IF(AC76=0,"N/A",100%)))</f>
        <v>-5.6491575817641228E-2</v>
      </c>
      <c r="AE76" s="328"/>
      <c r="AF76" s="328"/>
      <c r="AG76" s="328"/>
      <c r="AH76" s="328"/>
      <c r="AI76" s="328"/>
      <c r="AJ76" s="328"/>
      <c r="AK76" s="328"/>
      <c r="AL76" s="328"/>
    </row>
    <row r="77" spans="1:38" x14ac:dyDescent="0.25">
      <c r="A77" s="566" t="s">
        <v>991</v>
      </c>
      <c r="B77" s="1227">
        <v>108</v>
      </c>
      <c r="C77" s="1227">
        <v>0</v>
      </c>
      <c r="D77" s="1230">
        <v>0</v>
      </c>
      <c r="E77" s="745">
        <f>SUM(B77:D77)</f>
        <v>108</v>
      </c>
      <c r="F77" s="1227">
        <v>111</v>
      </c>
      <c r="G77" s="1227">
        <v>0</v>
      </c>
      <c r="H77" s="1230">
        <v>0</v>
      </c>
      <c r="I77" s="980">
        <f>SUM(F77:H77)</f>
        <v>111</v>
      </c>
      <c r="J77" s="602">
        <f>IF(E77&gt;0,(I77-E77)/E77,(IF(I77=0,"N/A",100%)))</f>
        <v>2.7777777777777776E-2</v>
      </c>
      <c r="K77" s="580">
        <v>114</v>
      </c>
      <c r="L77" s="581">
        <v>3</v>
      </c>
      <c r="M77" s="581">
        <v>0</v>
      </c>
      <c r="N77" s="581">
        <f>SUM(K77:M77)</f>
        <v>117</v>
      </c>
      <c r="O77" s="155">
        <f t="shared" si="31"/>
        <v>5.4054054054054057E-2</v>
      </c>
      <c r="P77" s="154">
        <v>120</v>
      </c>
      <c r="Q77" s="154">
        <v>0</v>
      </c>
      <c r="R77" s="581">
        <v>0</v>
      </c>
      <c r="S77" s="154">
        <f>SUM(P77:R77)</f>
        <v>120</v>
      </c>
      <c r="T77" s="602">
        <f>IF(N77&gt;0,(S77-N77)/N77,(IF(S77=0,"N/A",100%)))</f>
        <v>2.564102564102564E-2</v>
      </c>
      <c r="U77" s="154">
        <v>132</v>
      </c>
      <c r="V77" s="154">
        <v>9</v>
      </c>
      <c r="W77" s="581">
        <v>0</v>
      </c>
      <c r="X77" s="154">
        <f>SUM(U77:W77)</f>
        <v>141</v>
      </c>
      <c r="Y77" s="155">
        <f>IF(S77&gt;0,(X77-S77)/S77,(IF(X77=0,"N/A",100%)))</f>
        <v>0.17499999999999999</v>
      </c>
      <c r="Z77" s="154">
        <v>204</v>
      </c>
      <c r="AA77" s="154">
        <v>6</v>
      </c>
      <c r="AB77" s="581">
        <v>0</v>
      </c>
      <c r="AC77" s="154">
        <f>SUM(Z77:AB77)</f>
        <v>210</v>
      </c>
      <c r="AD77" s="567">
        <f>IF(X77&gt;0,(AC77-X77)/X77,(IF(AC77=0,"N/A",100%)))</f>
        <v>0.48936170212765956</v>
      </c>
      <c r="AE77" s="328"/>
      <c r="AF77" s="328"/>
      <c r="AG77" s="328"/>
      <c r="AH77" s="328"/>
      <c r="AI77" s="328"/>
      <c r="AJ77" s="328"/>
      <c r="AK77" s="328"/>
      <c r="AL77" s="328"/>
    </row>
    <row r="78" spans="1:38" x14ac:dyDescent="0.25">
      <c r="A78" s="566" t="s">
        <v>995</v>
      </c>
      <c r="B78" s="1227">
        <v>801</v>
      </c>
      <c r="C78" s="1227">
        <v>18</v>
      </c>
      <c r="D78" s="1230">
        <v>0</v>
      </c>
      <c r="E78" s="745">
        <f>SUM(B78:D78)</f>
        <v>819</v>
      </c>
      <c r="F78" s="1227">
        <v>762</v>
      </c>
      <c r="G78" s="1227">
        <v>26</v>
      </c>
      <c r="H78" s="1230">
        <v>0</v>
      </c>
      <c r="I78" s="980">
        <f>SUM(F78:H78)</f>
        <v>788</v>
      </c>
      <c r="J78" s="602">
        <f>IF(E78&gt;0,(I78-E78)/E78,(IF(I78=0,"N/A",100%)))</f>
        <v>-3.7851037851037848E-2</v>
      </c>
      <c r="K78" s="580">
        <v>817</v>
      </c>
      <c r="L78" s="581">
        <v>60</v>
      </c>
      <c r="M78" s="581">
        <v>0</v>
      </c>
      <c r="N78" s="581">
        <f>SUM(K78:M78)</f>
        <v>877</v>
      </c>
      <c r="O78" s="155">
        <f t="shared" si="31"/>
        <v>0.11294416243654823</v>
      </c>
      <c r="P78" s="154">
        <v>1086</v>
      </c>
      <c r="Q78" s="154">
        <v>66</v>
      </c>
      <c r="R78" s="581">
        <v>0</v>
      </c>
      <c r="S78" s="154">
        <f>SUM(P78:R78)</f>
        <v>1152</v>
      </c>
      <c r="T78" s="602">
        <f>IF(N78&gt;0,(S78-N78)/N78,(IF(S78=0,"N/A",100%)))</f>
        <v>0.31356898517673887</v>
      </c>
      <c r="U78" s="154">
        <v>1278</v>
      </c>
      <c r="V78" s="154">
        <v>69</v>
      </c>
      <c r="W78" s="581">
        <v>0</v>
      </c>
      <c r="X78" s="154">
        <f>SUM(U78:W78)</f>
        <v>1347</v>
      </c>
      <c r="Y78" s="155">
        <f>IF(S78&gt;0,(X78-S78)/S78,(IF(X78=0,"N/A",100%)))</f>
        <v>0.16927083333333334</v>
      </c>
      <c r="Z78" s="154">
        <v>1443</v>
      </c>
      <c r="AA78" s="154">
        <v>96</v>
      </c>
      <c r="AB78" s="581">
        <v>0</v>
      </c>
      <c r="AC78" s="154">
        <f>SUM(Z78:AB78)</f>
        <v>1539</v>
      </c>
      <c r="AD78" s="567">
        <f>IF(X78&gt;0,(AC78-X78)/X78,(IF(AC78=0,"N/A",100%)))</f>
        <v>0.14253897550111358</v>
      </c>
      <c r="AE78" s="328"/>
      <c r="AF78" s="328"/>
      <c r="AG78" s="328"/>
      <c r="AH78" s="328"/>
      <c r="AI78" s="328"/>
      <c r="AJ78" s="328"/>
      <c r="AK78" s="328"/>
      <c r="AL78" s="328"/>
    </row>
    <row r="79" spans="1:38" s="575" customFormat="1" ht="13.8" x14ac:dyDescent="0.25">
      <c r="A79" s="615" t="s">
        <v>961</v>
      </c>
      <c r="B79" s="611">
        <f t="shared" ref="B79:I79" si="54">SUM(B76:B78)</f>
        <v>3360</v>
      </c>
      <c r="C79" s="611">
        <f t="shared" si="54"/>
        <v>285</v>
      </c>
      <c r="D79" s="611">
        <f t="shared" si="54"/>
        <v>0</v>
      </c>
      <c r="E79" s="748">
        <f t="shared" si="54"/>
        <v>3645</v>
      </c>
      <c r="F79" s="611">
        <f t="shared" si="54"/>
        <v>3708</v>
      </c>
      <c r="G79" s="611">
        <f t="shared" si="54"/>
        <v>293</v>
      </c>
      <c r="H79" s="611">
        <f t="shared" si="54"/>
        <v>0</v>
      </c>
      <c r="I79" s="1249">
        <f t="shared" si="54"/>
        <v>4001</v>
      </c>
      <c r="J79" s="731">
        <f>IF(E79&gt;0,(I79-E79)/E79,(IF(I79=0,"N/A",100%)))</f>
        <v>9.7668038408779148E-2</v>
      </c>
      <c r="K79" s="585">
        <f>SUM(K76:K78)</f>
        <v>4258</v>
      </c>
      <c r="L79" s="586">
        <f>SUM(L76:L78)</f>
        <v>358</v>
      </c>
      <c r="M79" s="586">
        <f>SUM(M76:M78)</f>
        <v>0</v>
      </c>
      <c r="N79" s="586">
        <f>SUM(N76:N78)</f>
        <v>4616</v>
      </c>
      <c r="O79" s="613">
        <f t="shared" si="31"/>
        <v>0.15371157210697325</v>
      </c>
      <c r="P79" s="611">
        <f>SUM(P76:P78)</f>
        <v>4737</v>
      </c>
      <c r="Q79" s="611">
        <f>SUM(Q76:Q78)</f>
        <v>370</v>
      </c>
      <c r="R79" s="611">
        <f>SUM(R76:R78)</f>
        <v>0</v>
      </c>
      <c r="S79" s="611">
        <f>SUM(S76:S78)</f>
        <v>5107</v>
      </c>
      <c r="T79" s="731">
        <f>IF(N79&gt;0,(S79-N79)/N79,(IF(S79=0,"N/A",100%)))</f>
        <v>0.10636915077989602</v>
      </c>
      <c r="U79" s="611">
        <f>SUM(U76:U78)</f>
        <v>5215</v>
      </c>
      <c r="V79" s="611">
        <f>SUM(V76:V78)</f>
        <v>309</v>
      </c>
      <c r="W79" s="611">
        <f>SUM(W76:W78)</f>
        <v>0</v>
      </c>
      <c r="X79" s="611">
        <f>SUM(X76:X78)</f>
        <v>5524</v>
      </c>
      <c r="Y79" s="613">
        <f>IF(S79&gt;0,(X79-S79)/S79,(IF(X79=0,"N/A",100%)))</f>
        <v>8.1652633640101821E-2</v>
      </c>
      <c r="Z79" s="611">
        <f>SUM(Z76:Z78)</f>
        <v>5122</v>
      </c>
      <c r="AA79" s="611">
        <f>SUM(AA76:AA78)</f>
        <v>435</v>
      </c>
      <c r="AB79" s="611">
        <f>SUM(AB76:AB78)</f>
        <v>0</v>
      </c>
      <c r="AC79" s="611">
        <f>SUM(AC76:AC78)</f>
        <v>5557</v>
      </c>
      <c r="AD79" s="614">
        <f>IF(X79&gt;0,(AC79-X79)/X79,(IF(AC79=0,"N/A",100%)))</f>
        <v>5.9739319333816073E-3</v>
      </c>
    </row>
    <row r="80" spans="1:38" s="596" customFormat="1" ht="16.2" thickBot="1" x14ac:dyDescent="0.35">
      <c r="A80" s="590" t="s">
        <v>414</v>
      </c>
      <c r="B80" s="591">
        <f t="shared" ref="B80:I80" si="55">+B52+B60+B67+B74+B79</f>
        <v>7261</v>
      </c>
      <c r="C80" s="591">
        <f t="shared" si="55"/>
        <v>2519</v>
      </c>
      <c r="D80" s="591">
        <f t="shared" si="55"/>
        <v>0</v>
      </c>
      <c r="E80" s="747">
        <f t="shared" si="55"/>
        <v>9780</v>
      </c>
      <c r="F80" s="591">
        <f t="shared" si="55"/>
        <v>8325</v>
      </c>
      <c r="G80" s="591">
        <f t="shared" si="55"/>
        <v>2472</v>
      </c>
      <c r="H80" s="591">
        <f t="shared" si="55"/>
        <v>0</v>
      </c>
      <c r="I80" s="1252">
        <f t="shared" si="55"/>
        <v>10797</v>
      </c>
      <c r="J80" s="594">
        <f>IF(E80&gt;0,(I80-E80)/E80,(IF(I80=0,"N/A",100%)))</f>
        <v>0.10398773006134969</v>
      </c>
      <c r="K80" s="591">
        <f>+K52+K60+K67+K74+K79</f>
        <v>9868</v>
      </c>
      <c r="L80" s="592">
        <f>+L52+L60+L67+L74+L79</f>
        <v>2544</v>
      </c>
      <c r="M80" s="592">
        <f>+M52+M60+M67+M74+M79</f>
        <v>0</v>
      </c>
      <c r="N80" s="592">
        <f>+N52+N60+N67+N74+N79</f>
        <v>12412</v>
      </c>
      <c r="O80" s="642">
        <f t="shared" si="31"/>
        <v>0.14957858664443827</v>
      </c>
      <c r="P80" s="591">
        <f>+P52+P60+P67+P74+P79</f>
        <v>10897</v>
      </c>
      <c r="Q80" s="591">
        <f>+Q52+Q60+Q67+Q74+Q79</f>
        <v>2155</v>
      </c>
      <c r="R80" s="591">
        <f>+R52+R60+R67+R74+R79</f>
        <v>0</v>
      </c>
      <c r="S80" s="591">
        <f>+S52+S60+S67+S74+S79</f>
        <v>13052</v>
      </c>
      <c r="T80" s="594">
        <f>IF(N80&gt;0,(S80-N80)/N80,(IF(S80=0,"N/A",100%)))</f>
        <v>5.1563003544956493E-2</v>
      </c>
      <c r="U80" s="591">
        <f>+U52+U60+U67+U74+U79</f>
        <v>10814</v>
      </c>
      <c r="V80" s="591">
        <f>+V52+V60+V67+V74+V79</f>
        <v>2359</v>
      </c>
      <c r="W80" s="591">
        <f>+W52+W60+W67+W74+W79</f>
        <v>0</v>
      </c>
      <c r="X80" s="591">
        <f>+X52+X60+X67+X74+X79</f>
        <v>13173</v>
      </c>
      <c r="Y80" s="594">
        <f>IF(S80&gt;0,(X80-S80)/S80,(IF(X80=0,"N/A",100%)))</f>
        <v>9.2706098682194295E-3</v>
      </c>
      <c r="Z80" s="591">
        <f>+Z52+Z60+Z67+Z74+Z79</f>
        <v>9796</v>
      </c>
      <c r="AA80" s="591">
        <f>+AA52+AA60+AA67+AA74+AA79</f>
        <v>2753</v>
      </c>
      <c r="AB80" s="591">
        <f>+AB52+AB60+AB67+AB74+AB79</f>
        <v>3</v>
      </c>
      <c r="AC80" s="591">
        <f>+AC52+AC60+AC67+AC74+AC79</f>
        <v>12552</v>
      </c>
      <c r="AD80" s="595">
        <f>IF(X80&gt;0,(AC80-X80)/X80,(IF(AC80=0,"N/A",100%)))</f>
        <v>-4.7141881120473697E-2</v>
      </c>
    </row>
    <row r="81" spans="1:38" ht="14.25" customHeight="1" thickTop="1" x14ac:dyDescent="0.25">
      <c r="A81" s="604"/>
      <c r="B81" s="335"/>
      <c r="C81" s="335"/>
      <c r="D81" s="335"/>
      <c r="E81" s="335"/>
      <c r="F81" s="335"/>
      <c r="G81" s="335"/>
      <c r="H81" s="335"/>
      <c r="I81" s="335"/>
      <c r="J81" s="598"/>
      <c r="K81" s="328"/>
      <c r="L81" s="328"/>
      <c r="M81" s="328"/>
      <c r="N81" s="328"/>
      <c r="O81" s="328"/>
      <c r="P81" s="335"/>
      <c r="Q81" s="335"/>
      <c r="R81" s="335"/>
      <c r="S81" s="335"/>
      <c r="T81" s="598"/>
      <c r="U81" s="328"/>
      <c r="V81" s="328"/>
      <c r="W81" s="328"/>
      <c r="X81" s="328"/>
      <c r="Y81" s="328"/>
      <c r="Z81" s="328"/>
      <c r="AA81" s="328"/>
      <c r="AB81" s="328"/>
      <c r="AC81" s="328"/>
      <c r="AD81" s="328"/>
      <c r="AE81" s="328"/>
      <c r="AF81" s="328"/>
      <c r="AG81" s="328"/>
      <c r="AH81" s="328"/>
      <c r="AI81" s="328"/>
      <c r="AJ81" s="328"/>
      <c r="AK81" s="328"/>
      <c r="AL81" s="328"/>
    </row>
    <row r="82" spans="1:38" ht="14.25" customHeight="1" thickBot="1" x14ac:dyDescent="0.3">
      <c r="A82" s="604"/>
      <c r="B82" s="335"/>
      <c r="C82" s="335"/>
      <c r="D82" s="335"/>
      <c r="E82" s="335"/>
      <c r="F82" s="335"/>
      <c r="G82" s="335"/>
      <c r="H82" s="335"/>
      <c r="I82" s="335"/>
      <c r="J82" s="598"/>
      <c r="K82" s="328"/>
      <c r="L82" s="328"/>
      <c r="M82" s="328"/>
      <c r="N82" s="328"/>
      <c r="O82" s="328"/>
      <c r="P82" s="335"/>
      <c r="Q82" s="335"/>
      <c r="R82" s="335"/>
      <c r="S82" s="335"/>
      <c r="T82" s="598"/>
      <c r="U82" s="328"/>
      <c r="V82" s="328"/>
      <c r="W82" s="328"/>
      <c r="X82" s="328"/>
      <c r="Y82" s="328"/>
      <c r="Z82" s="328"/>
      <c r="AA82" s="328"/>
      <c r="AB82" s="328"/>
      <c r="AC82" s="328"/>
      <c r="AD82" s="328"/>
      <c r="AE82" s="328"/>
      <c r="AF82" s="328"/>
      <c r="AG82" s="328"/>
      <c r="AH82" s="328"/>
      <c r="AI82" s="328"/>
      <c r="AJ82" s="328"/>
      <c r="AK82" s="328"/>
      <c r="AL82" s="328"/>
    </row>
    <row r="83" spans="1:38" customFormat="1" ht="18.600000000000001" thickTop="1" thickBot="1" x14ac:dyDescent="0.35">
      <c r="A83" s="1736" t="s">
        <v>400</v>
      </c>
      <c r="B83" s="1737"/>
      <c r="C83" s="1737"/>
      <c r="D83" s="1737"/>
      <c r="E83" s="1737"/>
      <c r="F83" s="1737"/>
      <c r="G83" s="1737"/>
      <c r="H83" s="1737"/>
      <c r="I83" s="1737"/>
      <c r="J83" s="1737"/>
      <c r="K83" s="1737"/>
      <c r="L83" s="1737"/>
      <c r="M83" s="1737"/>
      <c r="N83" s="1737"/>
      <c r="O83" s="1737"/>
      <c r="P83" s="1737"/>
      <c r="Q83" s="1737"/>
      <c r="R83" s="1737"/>
      <c r="S83" s="1737"/>
      <c r="T83" s="1737"/>
      <c r="U83" s="1737"/>
      <c r="V83" s="1737"/>
      <c r="W83" s="1737"/>
      <c r="X83" s="1737"/>
      <c r="Y83" s="1737"/>
      <c r="Z83" s="1737"/>
      <c r="AA83" s="1737"/>
      <c r="AB83" s="1737"/>
      <c r="AC83" s="1737"/>
      <c r="AD83" s="1738"/>
    </row>
    <row r="84" spans="1:38" ht="27" thickTop="1" x14ac:dyDescent="0.25">
      <c r="A84" s="1723" t="s">
        <v>952</v>
      </c>
      <c r="B84" s="148" t="s">
        <v>954</v>
      </c>
      <c r="C84" s="148" t="s">
        <v>955</v>
      </c>
      <c r="D84" s="148" t="s">
        <v>956</v>
      </c>
      <c r="E84" s="149" t="s">
        <v>957</v>
      </c>
      <c r="F84" s="148" t="s">
        <v>954</v>
      </c>
      <c r="G84" s="148" t="s">
        <v>955</v>
      </c>
      <c r="H84" s="148" t="s">
        <v>956</v>
      </c>
      <c r="I84" s="150" t="s">
        <v>957</v>
      </c>
      <c r="J84" s="750" t="s">
        <v>958</v>
      </c>
      <c r="K84" s="1243" t="s">
        <v>954</v>
      </c>
      <c r="L84" s="1244" t="s">
        <v>955</v>
      </c>
      <c r="M84" s="1244" t="s">
        <v>956</v>
      </c>
      <c r="N84" s="1245" t="s">
        <v>957</v>
      </c>
      <c r="O84" s="1246" t="s">
        <v>958</v>
      </c>
      <c r="P84" s="148" t="s">
        <v>954</v>
      </c>
      <c r="Q84" s="148" t="s">
        <v>955</v>
      </c>
      <c r="R84" s="148" t="s">
        <v>956</v>
      </c>
      <c r="S84" s="150" t="s">
        <v>957</v>
      </c>
      <c r="T84" s="750" t="s">
        <v>958</v>
      </c>
      <c r="U84" s="148" t="s">
        <v>954</v>
      </c>
      <c r="V84" s="148" t="s">
        <v>955</v>
      </c>
      <c r="W84" s="148" t="s">
        <v>956</v>
      </c>
      <c r="X84" s="150" t="s">
        <v>957</v>
      </c>
      <c r="Y84" s="750" t="s">
        <v>958</v>
      </c>
      <c r="Z84" s="148" t="s">
        <v>954</v>
      </c>
      <c r="AA84" s="148" t="s">
        <v>955</v>
      </c>
      <c r="AB84" s="148" t="s">
        <v>956</v>
      </c>
      <c r="AC84" s="150" t="s">
        <v>957</v>
      </c>
      <c r="AD84" s="563" t="s">
        <v>958</v>
      </c>
      <c r="AE84" s="328"/>
      <c r="AF84" s="328"/>
      <c r="AG84" s="328"/>
      <c r="AH84" s="329"/>
      <c r="AI84" s="328"/>
      <c r="AJ84" s="328"/>
      <c r="AK84" s="328"/>
      <c r="AL84" s="328"/>
    </row>
    <row r="85" spans="1:38" ht="12.75" customHeight="1" x14ac:dyDescent="0.25">
      <c r="A85" s="1724"/>
      <c r="B85" s="1726" t="s">
        <v>1443</v>
      </c>
      <c r="C85" s="1727"/>
      <c r="D85" s="1727"/>
      <c r="E85" s="1728"/>
      <c r="F85" s="1727" t="s">
        <v>1442</v>
      </c>
      <c r="G85" s="1727"/>
      <c r="H85" s="1727"/>
      <c r="I85" s="1727"/>
      <c r="J85" s="1728"/>
      <c r="K85" s="1727" t="s">
        <v>1393</v>
      </c>
      <c r="L85" s="1727"/>
      <c r="M85" s="1727"/>
      <c r="N85" s="1727"/>
      <c r="O85" s="1728"/>
      <c r="P85" s="1727" t="s">
        <v>1394</v>
      </c>
      <c r="Q85" s="1727"/>
      <c r="R85" s="1727"/>
      <c r="S85" s="1727"/>
      <c r="T85" s="1728"/>
      <c r="U85" s="1727" t="s">
        <v>1395</v>
      </c>
      <c r="V85" s="1727"/>
      <c r="W85" s="1727"/>
      <c r="X85" s="1727"/>
      <c r="Y85" s="1728"/>
      <c r="Z85" s="1727" t="s">
        <v>1552</v>
      </c>
      <c r="AA85" s="1727"/>
      <c r="AB85" s="1727"/>
      <c r="AC85" s="1727"/>
      <c r="AD85" s="1735"/>
      <c r="AE85" s="328"/>
      <c r="AF85" s="328"/>
      <c r="AG85" s="328"/>
      <c r="AH85" s="328"/>
      <c r="AI85" s="328"/>
      <c r="AJ85" s="328"/>
      <c r="AK85" s="328"/>
      <c r="AL85" s="328"/>
    </row>
    <row r="86" spans="1:38" x14ac:dyDescent="0.25">
      <c r="A86" s="564" t="s">
        <v>402</v>
      </c>
      <c r="B86" s="151"/>
      <c r="C86" s="152"/>
      <c r="D86" s="152"/>
      <c r="E86" s="153"/>
      <c r="F86" s="151"/>
      <c r="G86" s="152"/>
      <c r="H86" s="152"/>
      <c r="I86" s="152"/>
      <c r="J86" s="153"/>
      <c r="K86" s="1250"/>
      <c r="L86" s="1251"/>
      <c r="M86" s="1251"/>
      <c r="N86" s="1251"/>
      <c r="O86" s="153"/>
      <c r="P86" s="151"/>
      <c r="Q86" s="152"/>
      <c r="R86" s="152"/>
      <c r="S86" s="152"/>
      <c r="T86" s="153"/>
      <c r="U86" s="151"/>
      <c r="V86" s="152"/>
      <c r="W86" s="152"/>
      <c r="X86" s="152"/>
      <c r="Y86" s="153"/>
      <c r="Z86" s="151"/>
      <c r="AA86" s="152"/>
      <c r="AB86" s="152"/>
      <c r="AC86" s="152"/>
      <c r="AD86" s="565"/>
      <c r="AE86" s="328"/>
      <c r="AF86" s="328"/>
      <c r="AG86" s="328"/>
      <c r="AH86" s="328"/>
      <c r="AI86" s="328"/>
      <c r="AJ86" s="328"/>
      <c r="AK86" s="328"/>
      <c r="AL86" s="328"/>
    </row>
    <row r="87" spans="1:38" x14ac:dyDescent="0.25">
      <c r="A87" s="566" t="s">
        <v>1006</v>
      </c>
      <c r="B87" s="1227">
        <v>1228</v>
      </c>
      <c r="C87" s="1227">
        <v>422</v>
      </c>
      <c r="D87" s="1230">
        <v>0</v>
      </c>
      <c r="E87" s="745">
        <f>SUM(B87:D87)</f>
        <v>1650</v>
      </c>
      <c r="F87" s="1227">
        <v>1360</v>
      </c>
      <c r="G87" s="1227">
        <v>354</v>
      </c>
      <c r="H87" s="1230">
        <v>0</v>
      </c>
      <c r="I87" s="154">
        <f>SUM(F87:H87)</f>
        <v>1714</v>
      </c>
      <c r="J87" s="582">
        <f>IF(E87&gt;0,(I87-E87)/E87,(IF(I87=0,"N/A",100%)))</f>
        <v>3.8787878787878788E-2</v>
      </c>
      <c r="K87" s="580">
        <v>1652</v>
      </c>
      <c r="L87" s="581">
        <v>346</v>
      </c>
      <c r="M87" s="581">
        <v>0</v>
      </c>
      <c r="N87" s="581">
        <f>SUM(K87:M87)</f>
        <v>1998</v>
      </c>
      <c r="O87" s="155">
        <f>IF(I87&gt;0,(N87-I87)/I87,(IF(N87=0,"N/A",100%)))</f>
        <v>0.16569428238039674</v>
      </c>
      <c r="P87" s="512">
        <v>1832</v>
      </c>
      <c r="Q87" s="154">
        <v>390</v>
      </c>
      <c r="R87" s="581">
        <v>0</v>
      </c>
      <c r="S87" s="154">
        <f>SUM(P87:R87)</f>
        <v>2222</v>
      </c>
      <c r="T87" s="602">
        <f>IF(N87&gt;0,(S87-N87)/N87,(IF(S87=0,"N/A",100%)))</f>
        <v>0.11211211211211211</v>
      </c>
      <c r="U87" s="154">
        <v>1804</v>
      </c>
      <c r="V87" s="154">
        <v>321</v>
      </c>
      <c r="W87" s="581">
        <v>0</v>
      </c>
      <c r="X87" s="154">
        <f>SUM(U87:W87)</f>
        <v>2125</v>
      </c>
      <c r="Y87" s="155">
        <f>IF(S87&gt;0,(X87-S87)/S87,(IF(X87=0,"N/A",100%)))</f>
        <v>-4.3654365436543656E-2</v>
      </c>
      <c r="Z87" s="154">
        <v>1852</v>
      </c>
      <c r="AA87" s="154">
        <v>323</v>
      </c>
      <c r="AB87" s="581">
        <v>0</v>
      </c>
      <c r="AC87" s="154">
        <f>SUM(Z87:AB87)</f>
        <v>2175</v>
      </c>
      <c r="AD87" s="567">
        <f>IF(X87&gt;0,(AC87-X87)/X87,(IF(AC87=0,"N/A",100%)))</f>
        <v>2.3529411764705882E-2</v>
      </c>
      <c r="AE87" s="328"/>
      <c r="AF87" s="328"/>
      <c r="AG87" s="328"/>
      <c r="AH87" s="328"/>
      <c r="AI87" s="328"/>
      <c r="AJ87" s="328"/>
      <c r="AK87" s="328"/>
      <c r="AL87" s="328"/>
    </row>
    <row r="88" spans="1:38" x14ac:dyDescent="0.25">
      <c r="A88" s="564" t="s">
        <v>403</v>
      </c>
      <c r="B88" s="1234"/>
      <c r="C88" s="1235"/>
      <c r="D88" s="1235"/>
      <c r="E88" s="153"/>
      <c r="F88" s="1234"/>
      <c r="G88" s="1235"/>
      <c r="H88" s="1235"/>
      <c r="I88" s="152"/>
      <c r="J88" s="330"/>
      <c r="K88" s="605"/>
      <c r="L88" s="578"/>
      <c r="M88" s="578"/>
      <c r="N88" s="578"/>
      <c r="O88" s="153"/>
      <c r="P88" s="151"/>
      <c r="Q88" s="152"/>
      <c r="R88" s="152"/>
      <c r="S88" s="152"/>
      <c r="T88" s="153"/>
      <c r="U88" s="151"/>
      <c r="V88" s="152"/>
      <c r="W88" s="152"/>
      <c r="X88" s="152"/>
      <c r="Y88" s="153"/>
      <c r="Z88" s="151"/>
      <c r="AA88" s="152"/>
      <c r="AB88" s="152"/>
      <c r="AC88" s="152"/>
      <c r="AD88" s="565"/>
      <c r="AE88" s="328"/>
      <c r="AF88" s="328"/>
      <c r="AG88" s="328"/>
      <c r="AH88" s="328"/>
      <c r="AI88" s="328"/>
      <c r="AJ88" s="328"/>
      <c r="AK88" s="328"/>
      <c r="AL88" s="328"/>
    </row>
    <row r="89" spans="1:38" x14ac:dyDescent="0.25">
      <c r="A89" s="566" t="s">
        <v>1302</v>
      </c>
      <c r="B89" s="1227">
        <v>400</v>
      </c>
      <c r="C89" s="1227">
        <v>135</v>
      </c>
      <c r="D89" s="1230">
        <v>0</v>
      </c>
      <c r="E89" s="745">
        <f>SUM(B89:D89)</f>
        <v>535</v>
      </c>
      <c r="F89" s="1227">
        <v>406</v>
      </c>
      <c r="G89" s="1227">
        <v>66</v>
      </c>
      <c r="H89" s="1230">
        <v>0</v>
      </c>
      <c r="I89" s="154">
        <f>SUM(F89:H89)</f>
        <v>472</v>
      </c>
      <c r="J89" s="602">
        <f>IF(E89&gt;0,(I89-E89)/E89,(IF(I89=0,"N/A",100%)))</f>
        <v>-0.11775700934579439</v>
      </c>
      <c r="K89" s="580">
        <v>550</v>
      </c>
      <c r="L89" s="581">
        <v>114</v>
      </c>
      <c r="M89" s="581">
        <v>0</v>
      </c>
      <c r="N89" s="581">
        <f>SUM(K89:M89)</f>
        <v>664</v>
      </c>
      <c r="O89" s="155">
        <f t="shared" ref="O89:O103" si="56">IF(I89&gt;0,(N89-I89)/I89,(IF(N89=0,"N/A",100%)))</f>
        <v>0.40677966101694918</v>
      </c>
      <c r="P89" s="512">
        <v>510</v>
      </c>
      <c r="Q89" s="154">
        <v>102</v>
      </c>
      <c r="R89" s="581">
        <v>0</v>
      </c>
      <c r="S89" s="154">
        <f>SUM(P89:R89)</f>
        <v>612</v>
      </c>
      <c r="T89" s="602">
        <f>IF(N89&gt;0,(S89-N89)/N89,(IF(S89=0,"N/A",100%)))</f>
        <v>-7.8313253012048195E-2</v>
      </c>
      <c r="U89" s="154">
        <v>558</v>
      </c>
      <c r="V89" s="154">
        <v>120</v>
      </c>
      <c r="W89" s="581">
        <v>0</v>
      </c>
      <c r="X89" s="154">
        <f>SUM(U89:W89)</f>
        <v>678</v>
      </c>
      <c r="Y89" s="155">
        <f>IF(S89&gt;0,(X89-S89)/S89,(IF(X89=0,"N/A",100%)))</f>
        <v>0.10784313725490197</v>
      </c>
      <c r="Z89" s="154">
        <v>616</v>
      </c>
      <c r="AA89" s="154">
        <v>102</v>
      </c>
      <c r="AB89" s="581">
        <v>0</v>
      </c>
      <c r="AC89" s="154">
        <f>SUM(Z89:AB89)</f>
        <v>718</v>
      </c>
      <c r="AD89" s="567">
        <f>IF(X89&gt;0,(AC89-X89)/X89,(IF(AC89=0,"N/A",100%)))</f>
        <v>5.8997050147492625E-2</v>
      </c>
      <c r="AE89" s="328"/>
      <c r="AF89" s="328"/>
      <c r="AG89" s="328"/>
      <c r="AH89" s="328"/>
      <c r="AI89" s="328"/>
      <c r="AJ89" s="328"/>
      <c r="AK89" s="328"/>
      <c r="AL89" s="328"/>
    </row>
    <row r="90" spans="1:38" x14ac:dyDescent="0.25">
      <c r="A90" s="566" t="s">
        <v>799</v>
      </c>
      <c r="B90" s="1227">
        <v>1806</v>
      </c>
      <c r="C90" s="1227">
        <v>37</v>
      </c>
      <c r="D90" s="1230">
        <v>0</v>
      </c>
      <c r="E90" s="745">
        <f>SUM(B90:D90)</f>
        <v>1843</v>
      </c>
      <c r="F90" s="1227">
        <v>2022</v>
      </c>
      <c r="G90" s="1227">
        <v>101</v>
      </c>
      <c r="H90" s="1230">
        <v>0</v>
      </c>
      <c r="I90" s="154">
        <f>SUM(F90:H90)</f>
        <v>2123</v>
      </c>
      <c r="J90" s="602">
        <f>IF(E90&gt;0,(I90-E90)/E90,(IF(I90=0,"N/A",100%)))</f>
        <v>0.1519262072707542</v>
      </c>
      <c r="K90" s="580">
        <v>2502</v>
      </c>
      <c r="L90" s="581">
        <v>26</v>
      </c>
      <c r="M90" s="581">
        <v>0</v>
      </c>
      <c r="N90" s="581">
        <f>SUM(K90:M90)</f>
        <v>2528</v>
      </c>
      <c r="O90" s="155">
        <f t="shared" si="56"/>
        <v>0.19076778144135656</v>
      </c>
      <c r="P90" s="154">
        <v>2693</v>
      </c>
      <c r="Q90" s="154">
        <v>44</v>
      </c>
      <c r="R90" s="581">
        <v>0</v>
      </c>
      <c r="S90" s="154">
        <f>SUM(P90:R90)</f>
        <v>2737</v>
      </c>
      <c r="T90" s="602">
        <f>IF(N90&gt;0,(S90-N90)/N90,(IF(S90=0,"N/A",100%)))</f>
        <v>8.2674050632911389E-2</v>
      </c>
      <c r="U90" s="154">
        <v>2873</v>
      </c>
      <c r="V90" s="154">
        <v>64</v>
      </c>
      <c r="W90" s="581">
        <v>0</v>
      </c>
      <c r="X90" s="154">
        <f>SUM(U90:W90)</f>
        <v>2937</v>
      </c>
      <c r="Y90" s="155">
        <f>IF(S90&gt;0,(X90-S90)/S90,(IF(X90=0,"N/A",100%)))</f>
        <v>7.3072707343807095E-2</v>
      </c>
      <c r="Z90" s="154">
        <v>2859</v>
      </c>
      <c r="AA90" s="154">
        <v>77</v>
      </c>
      <c r="AB90" s="581">
        <v>0</v>
      </c>
      <c r="AC90" s="154">
        <f>SUM(Z90:AB90)</f>
        <v>2936</v>
      </c>
      <c r="AD90" s="567">
        <f>IF(X90&gt;0,(AC90-X90)/X90,(IF(AC90=0,"N/A",100%)))</f>
        <v>-3.4048348655090226E-4</v>
      </c>
      <c r="AE90" s="328"/>
      <c r="AF90" s="328"/>
      <c r="AG90" s="328"/>
      <c r="AH90" s="328"/>
      <c r="AI90" s="328"/>
      <c r="AJ90" s="328"/>
      <c r="AK90" s="328"/>
      <c r="AL90" s="328"/>
    </row>
    <row r="91" spans="1:38" s="575" customFormat="1" ht="13.8" x14ac:dyDescent="0.25">
      <c r="A91" s="615" t="s">
        <v>961</v>
      </c>
      <c r="B91" s="611">
        <f t="shared" ref="B91:I91" si="57">SUM(B89:B90)</f>
        <v>2206</v>
      </c>
      <c r="C91" s="611">
        <f t="shared" si="57"/>
        <v>172</v>
      </c>
      <c r="D91" s="611">
        <f t="shared" si="57"/>
        <v>0</v>
      </c>
      <c r="E91" s="748">
        <f t="shared" si="57"/>
        <v>2378</v>
      </c>
      <c r="F91" s="611">
        <f t="shared" si="57"/>
        <v>2428</v>
      </c>
      <c r="G91" s="611">
        <f t="shared" si="57"/>
        <v>167</v>
      </c>
      <c r="H91" s="611">
        <f t="shared" si="57"/>
        <v>0</v>
      </c>
      <c r="I91" s="611">
        <f t="shared" si="57"/>
        <v>2595</v>
      </c>
      <c r="J91" s="731">
        <f>IF(E91&gt;0,(I91-E91)/E91,(IF(I91=0,"N/A",100%)))</f>
        <v>9.1253153910849455E-2</v>
      </c>
      <c r="K91" s="585">
        <f>SUM(K89:K90)</f>
        <v>3052</v>
      </c>
      <c r="L91" s="586">
        <f>SUM(L89:L90)</f>
        <v>140</v>
      </c>
      <c r="M91" s="586">
        <f>SUM(M89:M90)</f>
        <v>0</v>
      </c>
      <c r="N91" s="586">
        <f>SUM(N89:N90)</f>
        <v>3192</v>
      </c>
      <c r="O91" s="613">
        <f t="shared" si="56"/>
        <v>0.23005780346820809</v>
      </c>
      <c r="P91" s="611">
        <f>SUM(P89:P90)</f>
        <v>3203</v>
      </c>
      <c r="Q91" s="611">
        <f>SUM(Q89:Q90)</f>
        <v>146</v>
      </c>
      <c r="R91" s="611">
        <f>SUM(R89:R90)</f>
        <v>0</v>
      </c>
      <c r="S91" s="611">
        <f>SUM(S89:S90)</f>
        <v>3349</v>
      </c>
      <c r="T91" s="731">
        <f>IF(N91&gt;0,(S91-N91)/N91,(IF(S91=0,"N/A",100%)))</f>
        <v>4.9185463659147867E-2</v>
      </c>
      <c r="U91" s="611">
        <f>SUM(U89:U90)</f>
        <v>3431</v>
      </c>
      <c r="V91" s="611">
        <f>SUM(V89:V90)</f>
        <v>184</v>
      </c>
      <c r="W91" s="611">
        <f>SUM(W89:W90)</f>
        <v>0</v>
      </c>
      <c r="X91" s="611">
        <f>SUM(X89:X90)</f>
        <v>3615</v>
      </c>
      <c r="Y91" s="613">
        <f>IF(S91&gt;0,(X91-S91)/S91,(IF(X91=0,"N/A",100%)))</f>
        <v>7.9426694535682296E-2</v>
      </c>
      <c r="Z91" s="611">
        <f>SUM(Z89:Z90)</f>
        <v>3475</v>
      </c>
      <c r="AA91" s="611">
        <f>SUM(AA89:AA90)</f>
        <v>179</v>
      </c>
      <c r="AB91" s="611">
        <f>SUM(AB89:AB90)</f>
        <v>0</v>
      </c>
      <c r="AC91" s="611">
        <f>SUM(AC89:AC90)</f>
        <v>3654</v>
      </c>
      <c r="AD91" s="614">
        <f>IF(X91&gt;0,(AC91-X91)/X91,(IF(AC91=0,"N/A",100%)))</f>
        <v>1.0788381742738589E-2</v>
      </c>
    </row>
    <row r="92" spans="1:38" customFormat="1" x14ac:dyDescent="0.25">
      <c r="A92" s="640" t="s">
        <v>405</v>
      </c>
      <c r="B92" s="619"/>
      <c r="C92" s="617"/>
      <c r="D92" s="617"/>
      <c r="E92" s="618"/>
      <c r="F92" s="619"/>
      <c r="G92" s="617"/>
      <c r="H92" s="617"/>
      <c r="I92" s="617"/>
      <c r="J92" s="618"/>
      <c r="K92" s="619"/>
      <c r="L92" s="617"/>
      <c r="M92" s="617"/>
      <c r="N92" s="617"/>
      <c r="O92" s="1213"/>
      <c r="P92" s="619"/>
      <c r="Q92" s="617"/>
      <c r="R92" s="617"/>
      <c r="S92" s="617"/>
      <c r="T92" s="618"/>
      <c r="U92" s="619"/>
      <c r="V92" s="617"/>
      <c r="W92" s="617"/>
      <c r="X92" s="617"/>
      <c r="Y92" s="618"/>
      <c r="Z92" s="619"/>
      <c r="AA92" s="617"/>
      <c r="AB92" s="617"/>
      <c r="AC92" s="617"/>
      <c r="AD92" s="620"/>
    </row>
    <row r="93" spans="1:38" x14ac:dyDescent="0.25">
      <c r="A93" s="579" t="s">
        <v>1007</v>
      </c>
      <c r="B93" s="1229">
        <v>988</v>
      </c>
      <c r="C93" s="1230">
        <v>191</v>
      </c>
      <c r="D93" s="1230">
        <v>0</v>
      </c>
      <c r="E93" s="375">
        <f>SUM(B93:D93)</f>
        <v>1179</v>
      </c>
      <c r="F93" s="1229">
        <v>952</v>
      </c>
      <c r="G93" s="1230">
        <v>293</v>
      </c>
      <c r="H93" s="1230">
        <v>0</v>
      </c>
      <c r="I93" s="581">
        <f>SUM(F93:H93)</f>
        <v>1245</v>
      </c>
      <c r="J93" s="582">
        <f t="shared" ref="J93:J98" si="58">IF(E93&gt;0,(I93-E93)/E93,(IF(I93=0,"N/A",100%)))</f>
        <v>5.5979643765903309E-2</v>
      </c>
      <c r="K93" s="580">
        <v>1204</v>
      </c>
      <c r="L93" s="581">
        <v>248</v>
      </c>
      <c r="M93" s="581">
        <v>0</v>
      </c>
      <c r="N93" s="581">
        <f>SUM(K93:M93)</f>
        <v>1452</v>
      </c>
      <c r="O93" s="155">
        <f t="shared" si="56"/>
        <v>0.16626506024096385</v>
      </c>
      <c r="P93" s="512">
        <v>1320</v>
      </c>
      <c r="Q93" s="581">
        <v>295</v>
      </c>
      <c r="R93" s="581">
        <v>0</v>
      </c>
      <c r="S93" s="581">
        <f>SUM(P93:R93)</f>
        <v>1615</v>
      </c>
      <c r="T93" s="602">
        <f t="shared" ref="T93:T98" si="59">IF(N93&gt;0,(S93-N93)/N93,(IF(S93=0,"N/A",100%)))</f>
        <v>0.11225895316804407</v>
      </c>
      <c r="U93" s="580">
        <v>1256</v>
      </c>
      <c r="V93" s="581">
        <v>200</v>
      </c>
      <c r="W93" s="581">
        <v>0</v>
      </c>
      <c r="X93" s="581">
        <f>SUM(U93:W93)</f>
        <v>1456</v>
      </c>
      <c r="Y93" s="155">
        <f t="shared" ref="Y93:Y98" si="60">IF(S93&gt;0,(X93-S93)/S93,(IF(X93=0,"N/A",100%)))</f>
        <v>-9.845201238390093E-2</v>
      </c>
      <c r="Z93" s="580">
        <v>1280</v>
      </c>
      <c r="AA93" s="581">
        <v>288</v>
      </c>
      <c r="AB93" s="581">
        <v>0</v>
      </c>
      <c r="AC93" s="581">
        <f>SUM(Z93:AB93)</f>
        <v>1568</v>
      </c>
      <c r="AD93" s="567">
        <f t="shared" ref="AD93:AD98" si="61">IF(X93&gt;0,(AC93-X93)/X93,(IF(AC93=0,"N/A",100%)))</f>
        <v>7.6923076923076927E-2</v>
      </c>
      <c r="AE93" s="328"/>
      <c r="AF93" s="328"/>
      <c r="AG93" s="328"/>
      <c r="AH93" s="328"/>
      <c r="AI93" s="328"/>
      <c r="AJ93" s="328"/>
      <c r="AK93" s="328"/>
      <c r="AL93" s="328"/>
    </row>
    <row r="94" spans="1:38" x14ac:dyDescent="0.25">
      <c r="A94" s="566" t="s">
        <v>1008</v>
      </c>
      <c r="B94" s="1229">
        <v>0</v>
      </c>
      <c r="C94" s="1230">
        <v>8</v>
      </c>
      <c r="D94" s="1230">
        <v>0</v>
      </c>
      <c r="E94" s="375">
        <f>SUM(B94:D94)</f>
        <v>8</v>
      </c>
      <c r="F94" s="1229">
        <v>0</v>
      </c>
      <c r="G94" s="1230">
        <v>27</v>
      </c>
      <c r="H94" s="1230">
        <v>0</v>
      </c>
      <c r="I94" s="581">
        <f>SUM(F94:H94)</f>
        <v>27</v>
      </c>
      <c r="J94" s="582">
        <f t="shared" si="58"/>
        <v>2.375</v>
      </c>
      <c r="K94" s="580">
        <v>0</v>
      </c>
      <c r="L94" s="581">
        <v>16</v>
      </c>
      <c r="M94" s="581">
        <v>0</v>
      </c>
      <c r="N94" s="581">
        <f>SUM(K94:M94)</f>
        <v>16</v>
      </c>
      <c r="O94" s="155">
        <f t="shared" si="56"/>
        <v>-0.40740740740740738</v>
      </c>
      <c r="P94" s="580">
        <v>0</v>
      </c>
      <c r="Q94" s="581">
        <v>72</v>
      </c>
      <c r="R94" s="581">
        <v>0</v>
      </c>
      <c r="S94" s="581">
        <f>SUM(P94:R94)</f>
        <v>72</v>
      </c>
      <c r="T94" s="602">
        <f t="shared" si="59"/>
        <v>3.5</v>
      </c>
      <c r="U94" s="580">
        <v>0</v>
      </c>
      <c r="V94" s="581">
        <v>18</v>
      </c>
      <c r="W94" s="581">
        <v>0</v>
      </c>
      <c r="X94" s="581">
        <f>SUM(U94:W94)</f>
        <v>18</v>
      </c>
      <c r="Y94" s="155">
        <f t="shared" si="60"/>
        <v>-0.75</v>
      </c>
      <c r="Z94" s="580">
        <v>0</v>
      </c>
      <c r="AA94" s="581">
        <v>51</v>
      </c>
      <c r="AB94" s="581">
        <v>0</v>
      </c>
      <c r="AC94" s="581">
        <f>SUM(Z94:AB94)</f>
        <v>51</v>
      </c>
      <c r="AD94" s="567">
        <f t="shared" si="61"/>
        <v>1.8333333333333333</v>
      </c>
      <c r="AE94" s="328"/>
      <c r="AF94" s="328"/>
      <c r="AG94" s="328"/>
      <c r="AH94" s="328"/>
      <c r="AI94" s="328"/>
      <c r="AJ94" s="328"/>
      <c r="AK94" s="328"/>
      <c r="AL94" s="328"/>
    </row>
    <row r="95" spans="1:38" x14ac:dyDescent="0.25">
      <c r="A95" s="566" t="s">
        <v>1009</v>
      </c>
      <c r="B95" s="1229">
        <v>152</v>
      </c>
      <c r="C95" s="1230">
        <v>15</v>
      </c>
      <c r="D95" s="1230">
        <v>0</v>
      </c>
      <c r="E95" s="375">
        <f>SUM(B95:D95)</f>
        <v>167</v>
      </c>
      <c r="F95" s="1229">
        <v>172</v>
      </c>
      <c r="G95" s="1230">
        <v>0</v>
      </c>
      <c r="H95" s="1230">
        <v>0</v>
      </c>
      <c r="I95" s="581">
        <f>SUM(F95:H95)</f>
        <v>172</v>
      </c>
      <c r="J95" s="582">
        <f t="shared" si="58"/>
        <v>2.9940119760479042E-2</v>
      </c>
      <c r="K95" s="580">
        <v>160</v>
      </c>
      <c r="L95" s="581">
        <v>15</v>
      </c>
      <c r="M95" s="581">
        <v>0</v>
      </c>
      <c r="N95" s="581">
        <f>SUM(K95:M95)</f>
        <v>175</v>
      </c>
      <c r="O95" s="155">
        <f t="shared" si="56"/>
        <v>1.7441860465116279E-2</v>
      </c>
      <c r="P95" s="580">
        <v>160</v>
      </c>
      <c r="Q95" s="581">
        <v>0</v>
      </c>
      <c r="R95" s="581">
        <v>0</v>
      </c>
      <c r="S95" s="581">
        <f>SUM(P95:R95)</f>
        <v>160</v>
      </c>
      <c r="T95" s="602">
        <f t="shared" si="59"/>
        <v>-8.5714285714285715E-2</v>
      </c>
      <c r="U95" s="580">
        <v>160</v>
      </c>
      <c r="V95" s="581">
        <v>24</v>
      </c>
      <c r="W95" s="581">
        <v>0</v>
      </c>
      <c r="X95" s="581">
        <f>SUM(U95:W95)</f>
        <v>184</v>
      </c>
      <c r="Y95" s="155">
        <f t="shared" si="60"/>
        <v>0.15</v>
      </c>
      <c r="Z95" s="580">
        <v>160</v>
      </c>
      <c r="AA95" s="581">
        <v>0</v>
      </c>
      <c r="AB95" s="581">
        <v>0</v>
      </c>
      <c r="AC95" s="581">
        <f>SUM(Z95:AB95)</f>
        <v>160</v>
      </c>
      <c r="AD95" s="567">
        <f t="shared" si="61"/>
        <v>-0.13043478260869565</v>
      </c>
      <c r="AE95" s="328"/>
      <c r="AF95" s="328"/>
      <c r="AG95" s="328"/>
      <c r="AH95" s="328"/>
      <c r="AI95" s="328"/>
      <c r="AJ95" s="328"/>
      <c r="AK95" s="328"/>
      <c r="AL95" s="328"/>
    </row>
    <row r="96" spans="1:38" x14ac:dyDescent="0.25">
      <c r="A96" s="566" t="s">
        <v>1010</v>
      </c>
      <c r="B96" s="1229">
        <v>164</v>
      </c>
      <c r="C96" s="1230">
        <v>12</v>
      </c>
      <c r="D96" s="1230">
        <v>0</v>
      </c>
      <c r="E96" s="375">
        <f>SUM(B96:D96)</f>
        <v>176</v>
      </c>
      <c r="F96" s="1229">
        <v>112</v>
      </c>
      <c r="G96" s="1230">
        <v>0</v>
      </c>
      <c r="H96" s="1230">
        <v>0</v>
      </c>
      <c r="I96" s="581">
        <f>SUM(F96:H96)</f>
        <v>112</v>
      </c>
      <c r="J96" s="582">
        <f t="shared" si="58"/>
        <v>-0.36363636363636365</v>
      </c>
      <c r="K96" s="580">
        <v>112</v>
      </c>
      <c r="L96" s="581">
        <v>8</v>
      </c>
      <c r="M96" s="581">
        <v>0</v>
      </c>
      <c r="N96" s="581">
        <f>SUM(K96:M96)</f>
        <v>120</v>
      </c>
      <c r="O96" s="155">
        <f t="shared" si="56"/>
        <v>7.1428571428571425E-2</v>
      </c>
      <c r="P96" s="580">
        <v>172</v>
      </c>
      <c r="Q96" s="581">
        <v>0</v>
      </c>
      <c r="R96" s="581">
        <v>0</v>
      </c>
      <c r="S96" s="581">
        <f>SUM(P96:R96)</f>
        <v>172</v>
      </c>
      <c r="T96" s="602">
        <f t="shared" si="59"/>
        <v>0.43333333333333335</v>
      </c>
      <c r="U96" s="580">
        <v>120</v>
      </c>
      <c r="V96" s="581">
        <v>0</v>
      </c>
      <c r="W96" s="581">
        <v>0</v>
      </c>
      <c r="X96" s="581">
        <f>SUM(U96:W96)</f>
        <v>120</v>
      </c>
      <c r="Y96" s="155">
        <f t="shared" si="60"/>
        <v>-0.30232558139534882</v>
      </c>
      <c r="Z96" s="580">
        <v>168</v>
      </c>
      <c r="AA96" s="581">
        <v>0</v>
      </c>
      <c r="AB96" s="581">
        <v>0</v>
      </c>
      <c r="AC96" s="581">
        <f>SUM(Z96:AB96)</f>
        <v>168</v>
      </c>
      <c r="AD96" s="567">
        <f t="shared" si="61"/>
        <v>0.4</v>
      </c>
      <c r="AE96" s="328"/>
      <c r="AF96" s="328"/>
      <c r="AG96" s="328"/>
      <c r="AH96" s="328"/>
      <c r="AI96" s="328"/>
      <c r="AJ96" s="328"/>
      <c r="AK96" s="328"/>
      <c r="AL96" s="328"/>
    </row>
    <row r="97" spans="1:38" x14ac:dyDescent="0.25">
      <c r="A97" s="566" t="s">
        <v>1011</v>
      </c>
      <c r="B97" s="1229">
        <v>316</v>
      </c>
      <c r="C97" s="1230">
        <v>0</v>
      </c>
      <c r="D97" s="1230">
        <v>0</v>
      </c>
      <c r="E97" s="375">
        <f>SUM(B97:D97)</f>
        <v>316</v>
      </c>
      <c r="F97" s="1229">
        <v>392</v>
      </c>
      <c r="G97" s="1230">
        <v>0</v>
      </c>
      <c r="H97" s="1230">
        <v>0</v>
      </c>
      <c r="I97" s="581">
        <f>SUM(F97:H97)</f>
        <v>392</v>
      </c>
      <c r="J97" s="582">
        <f t="shared" si="58"/>
        <v>0.24050632911392406</v>
      </c>
      <c r="K97" s="580">
        <v>452</v>
      </c>
      <c r="L97" s="581">
        <v>0</v>
      </c>
      <c r="M97" s="581">
        <v>0</v>
      </c>
      <c r="N97" s="581">
        <f>SUM(K97:M97)</f>
        <v>452</v>
      </c>
      <c r="O97" s="155">
        <f t="shared" si="56"/>
        <v>0.15306122448979592</v>
      </c>
      <c r="P97" s="580">
        <v>388</v>
      </c>
      <c r="Q97" s="581">
        <v>14</v>
      </c>
      <c r="R97" s="581">
        <v>0</v>
      </c>
      <c r="S97" s="581">
        <f>SUM(P97:R97)</f>
        <v>402</v>
      </c>
      <c r="T97" s="602">
        <f t="shared" si="59"/>
        <v>-0.11061946902654868</v>
      </c>
      <c r="U97" s="580">
        <v>404</v>
      </c>
      <c r="V97" s="581">
        <v>39</v>
      </c>
      <c r="W97" s="581">
        <v>0</v>
      </c>
      <c r="X97" s="581">
        <f>SUM(U97:W97)</f>
        <v>443</v>
      </c>
      <c r="Y97" s="155">
        <f t="shared" si="60"/>
        <v>0.10199004975124377</v>
      </c>
      <c r="Z97" s="580">
        <v>320</v>
      </c>
      <c r="AA97" s="581">
        <v>30</v>
      </c>
      <c r="AB97" s="581">
        <v>0</v>
      </c>
      <c r="AC97" s="581">
        <f>SUM(Z97:AB97)</f>
        <v>350</v>
      </c>
      <c r="AD97" s="567">
        <f t="shared" si="61"/>
        <v>-0.20993227990970656</v>
      </c>
      <c r="AE97" s="328"/>
      <c r="AF97" s="328"/>
      <c r="AG97" s="328"/>
      <c r="AH97" s="328"/>
      <c r="AI97" s="328"/>
      <c r="AJ97" s="328"/>
      <c r="AK97" s="328"/>
      <c r="AL97" s="328"/>
    </row>
    <row r="98" spans="1:38" s="575" customFormat="1" ht="13.8" x14ac:dyDescent="0.25">
      <c r="A98" s="615" t="s">
        <v>961</v>
      </c>
      <c r="B98" s="585">
        <f t="shared" ref="B98:I98" si="62">SUM(B93:B97)</f>
        <v>1620</v>
      </c>
      <c r="C98" s="586">
        <f t="shared" si="62"/>
        <v>226</v>
      </c>
      <c r="D98" s="586">
        <f t="shared" si="62"/>
        <v>0</v>
      </c>
      <c r="E98" s="587">
        <f t="shared" si="62"/>
        <v>1846</v>
      </c>
      <c r="F98" s="585">
        <f t="shared" si="62"/>
        <v>1628</v>
      </c>
      <c r="G98" s="586">
        <f t="shared" si="62"/>
        <v>320</v>
      </c>
      <c r="H98" s="586">
        <f t="shared" si="62"/>
        <v>0</v>
      </c>
      <c r="I98" s="586">
        <f t="shared" si="62"/>
        <v>1948</v>
      </c>
      <c r="J98" s="588">
        <f t="shared" si="58"/>
        <v>5.5254604550379199E-2</v>
      </c>
      <c r="K98" s="585">
        <f>SUM(K93:K97)</f>
        <v>1928</v>
      </c>
      <c r="L98" s="586">
        <f>SUM(L93:L97)</f>
        <v>287</v>
      </c>
      <c r="M98" s="586">
        <f>SUM(M93:M97)</f>
        <v>0</v>
      </c>
      <c r="N98" s="586">
        <f>SUM(N93:N97)</f>
        <v>2215</v>
      </c>
      <c r="O98" s="613">
        <f t="shared" si="56"/>
        <v>0.13706365503080081</v>
      </c>
      <c r="P98" s="585">
        <f>SUM(P93:P97)</f>
        <v>2040</v>
      </c>
      <c r="Q98" s="586">
        <f>SUM(Q93:Q97)</f>
        <v>381</v>
      </c>
      <c r="R98" s="586">
        <f>SUM(R93:R97)</f>
        <v>0</v>
      </c>
      <c r="S98" s="586">
        <f>SUM(S93:S97)</f>
        <v>2421</v>
      </c>
      <c r="T98" s="731">
        <f t="shared" si="59"/>
        <v>9.3002257336343111E-2</v>
      </c>
      <c r="U98" s="585">
        <f>SUM(U93:U97)</f>
        <v>1940</v>
      </c>
      <c r="V98" s="586">
        <f>SUM(V93:V97)</f>
        <v>281</v>
      </c>
      <c r="W98" s="586">
        <f>SUM(W93:W97)</f>
        <v>0</v>
      </c>
      <c r="X98" s="586">
        <f>SUM(X93:X97)</f>
        <v>2221</v>
      </c>
      <c r="Y98" s="613">
        <f t="shared" si="60"/>
        <v>-8.2610491532424613E-2</v>
      </c>
      <c r="Z98" s="585">
        <f>SUM(Z93:Z97)</f>
        <v>1928</v>
      </c>
      <c r="AA98" s="586">
        <f>SUM(AA93:AA97)</f>
        <v>369</v>
      </c>
      <c r="AB98" s="586">
        <f>SUM(AB93:AB97)</f>
        <v>0</v>
      </c>
      <c r="AC98" s="586">
        <f>SUM(AC93:AC97)</f>
        <v>2297</v>
      </c>
      <c r="AD98" s="614">
        <f t="shared" si="61"/>
        <v>3.4218820351193155E-2</v>
      </c>
    </row>
    <row r="99" spans="1:38" customFormat="1" x14ac:dyDescent="0.25">
      <c r="A99" s="640" t="s">
        <v>404</v>
      </c>
      <c r="B99" s="619"/>
      <c r="C99" s="617"/>
      <c r="D99" s="617"/>
      <c r="E99" s="618"/>
      <c r="F99" s="619"/>
      <c r="G99" s="617"/>
      <c r="H99" s="617"/>
      <c r="I99" s="617"/>
      <c r="J99" s="618"/>
      <c r="K99" s="619"/>
      <c r="L99" s="617"/>
      <c r="M99" s="617"/>
      <c r="N99" s="617"/>
      <c r="O99" s="1213"/>
      <c r="P99" s="619"/>
      <c r="Q99" s="617"/>
      <c r="R99" s="617"/>
      <c r="S99" s="617"/>
      <c r="T99" s="618"/>
      <c r="U99" s="619"/>
      <c r="V99" s="617"/>
      <c r="W99" s="617"/>
      <c r="X99" s="617"/>
      <c r="Y99" s="618"/>
      <c r="Z99" s="619"/>
      <c r="AA99" s="617"/>
      <c r="AB99" s="617"/>
      <c r="AC99" s="617"/>
      <c r="AD99" s="620"/>
    </row>
    <row r="100" spans="1:38" x14ac:dyDescent="0.25">
      <c r="A100" s="579" t="s">
        <v>660</v>
      </c>
      <c r="B100" s="1229">
        <v>0</v>
      </c>
      <c r="C100" s="1230">
        <v>142</v>
      </c>
      <c r="D100" s="1230">
        <v>0</v>
      </c>
      <c r="E100" s="375">
        <f>SUM(B100:D100)</f>
        <v>142</v>
      </c>
      <c r="F100" s="1229">
        <v>0</v>
      </c>
      <c r="G100" s="1230">
        <v>172</v>
      </c>
      <c r="H100" s="1230">
        <v>0</v>
      </c>
      <c r="I100" s="581">
        <f>SUM(F100:H100)</f>
        <v>172</v>
      </c>
      <c r="J100" s="582">
        <f>IF(E100&gt;0,(I100-E100)/E100,(IF(I100=0,"N/A",100%)))</f>
        <v>0.21126760563380281</v>
      </c>
      <c r="K100" s="580">
        <v>0</v>
      </c>
      <c r="L100" s="581">
        <v>130</v>
      </c>
      <c r="M100" s="581">
        <v>0</v>
      </c>
      <c r="N100" s="581">
        <f>SUM(K100:M100)</f>
        <v>130</v>
      </c>
      <c r="O100" s="155">
        <f t="shared" si="56"/>
        <v>-0.2441860465116279</v>
      </c>
      <c r="P100" s="580">
        <v>21</v>
      </c>
      <c r="Q100" s="581">
        <v>201</v>
      </c>
      <c r="R100" s="581">
        <v>0</v>
      </c>
      <c r="S100" s="581">
        <f>SUM(P100:R100)</f>
        <v>222</v>
      </c>
      <c r="T100" s="602">
        <f>IF(N100&gt;0,(S100-N100)/N100,(IF(S100=0,"N/A",100%)))</f>
        <v>0.70769230769230773</v>
      </c>
      <c r="U100" s="580">
        <v>60</v>
      </c>
      <c r="V100" s="581">
        <v>340</v>
      </c>
      <c r="W100" s="581">
        <v>0</v>
      </c>
      <c r="X100" s="581">
        <f>SUM(U100:W100)</f>
        <v>400</v>
      </c>
      <c r="Y100" s="155">
        <f>IF(S100&gt;0,(X100-S100)/S100,(IF(X100=0,"N/A",100%)))</f>
        <v>0.80180180180180183</v>
      </c>
      <c r="Z100" s="580">
        <v>60</v>
      </c>
      <c r="AA100" s="581">
        <v>247</v>
      </c>
      <c r="AB100" s="581">
        <v>0</v>
      </c>
      <c r="AC100" s="581">
        <f>SUM(Z100:AB100)</f>
        <v>307</v>
      </c>
      <c r="AD100" s="567">
        <f>IF(X100&gt;0,(AC100-X100)/X100,(IF(AC100=0,"N/A",100%)))</f>
        <v>-0.23250000000000001</v>
      </c>
      <c r="AE100" s="328"/>
      <c r="AF100" s="328"/>
      <c r="AG100" s="328"/>
      <c r="AH100" s="328"/>
      <c r="AI100" s="328"/>
      <c r="AJ100" s="328"/>
      <c r="AK100" s="328"/>
      <c r="AL100" s="328"/>
    </row>
    <row r="101" spans="1:38" x14ac:dyDescent="0.25">
      <c r="A101" s="579" t="s">
        <v>997</v>
      </c>
      <c r="B101" s="1229">
        <v>494</v>
      </c>
      <c r="C101" s="1230">
        <v>714</v>
      </c>
      <c r="D101" s="1230">
        <v>0</v>
      </c>
      <c r="E101" s="375">
        <f>SUM(B101:D101)</f>
        <v>1208</v>
      </c>
      <c r="F101" s="1229">
        <v>491</v>
      </c>
      <c r="G101" s="1230">
        <v>812</v>
      </c>
      <c r="H101" s="1230">
        <v>0</v>
      </c>
      <c r="I101" s="581">
        <f>SUM(F101:H101)</f>
        <v>1303</v>
      </c>
      <c r="J101" s="582">
        <f>IF(E101&gt;0,(I101-E101)/E101,(IF(I101=0,"N/A",100%)))</f>
        <v>7.8642384105960264E-2</v>
      </c>
      <c r="K101" s="580">
        <v>556</v>
      </c>
      <c r="L101" s="581">
        <v>918</v>
      </c>
      <c r="M101" s="581">
        <v>0</v>
      </c>
      <c r="N101" s="581">
        <f>SUM(K101:M101)</f>
        <v>1474</v>
      </c>
      <c r="O101" s="155">
        <f t="shared" si="56"/>
        <v>0.13123561013046814</v>
      </c>
      <c r="P101" s="580">
        <v>621</v>
      </c>
      <c r="Q101" s="581">
        <v>968</v>
      </c>
      <c r="R101" s="581">
        <v>0</v>
      </c>
      <c r="S101" s="581">
        <f>SUM(P101:R101)</f>
        <v>1589</v>
      </c>
      <c r="T101" s="602">
        <f>IF(N101&gt;0,(S101-N101)/N101,(IF(S101=0,"N/A",100%)))</f>
        <v>7.8018995929443696E-2</v>
      </c>
      <c r="U101" s="580">
        <v>643</v>
      </c>
      <c r="V101" s="581">
        <v>1109</v>
      </c>
      <c r="W101" s="581">
        <v>0</v>
      </c>
      <c r="X101" s="581">
        <f>SUM(U101:W101)</f>
        <v>1752</v>
      </c>
      <c r="Y101" s="155">
        <f>IF(S101&gt;0,(X101-S101)/S101,(IF(X101=0,"N/A",100%)))</f>
        <v>0.10258023914411579</v>
      </c>
      <c r="Z101" s="580">
        <v>753</v>
      </c>
      <c r="AA101" s="581">
        <v>1242</v>
      </c>
      <c r="AB101" s="581">
        <v>0</v>
      </c>
      <c r="AC101" s="581">
        <f>SUM(Z101:AB101)</f>
        <v>1995</v>
      </c>
      <c r="AD101" s="567">
        <f>IF(X101&gt;0,(AC101-X101)/X101,(IF(AC101=0,"N/A",100%)))</f>
        <v>0.1386986301369863</v>
      </c>
      <c r="AE101" s="328"/>
      <c r="AF101" s="328"/>
      <c r="AG101" s="328"/>
      <c r="AH101" s="328"/>
      <c r="AI101" s="328"/>
      <c r="AJ101" s="328"/>
      <c r="AK101" s="328"/>
      <c r="AL101" s="328"/>
    </row>
    <row r="102" spans="1:38" s="575" customFormat="1" ht="13.8" x14ac:dyDescent="0.25">
      <c r="A102" s="584" t="s">
        <v>961</v>
      </c>
      <c r="B102" s="585">
        <f t="shared" ref="B102:I102" si="63">+B101+B100</f>
        <v>494</v>
      </c>
      <c r="C102" s="586">
        <f t="shared" si="63"/>
        <v>856</v>
      </c>
      <c r="D102" s="586">
        <f t="shared" si="63"/>
        <v>0</v>
      </c>
      <c r="E102" s="587">
        <f t="shared" si="63"/>
        <v>1350</v>
      </c>
      <c r="F102" s="585">
        <f t="shared" si="63"/>
        <v>491</v>
      </c>
      <c r="G102" s="586">
        <f t="shared" si="63"/>
        <v>984</v>
      </c>
      <c r="H102" s="586">
        <f t="shared" si="63"/>
        <v>0</v>
      </c>
      <c r="I102" s="586">
        <f t="shared" si="63"/>
        <v>1475</v>
      </c>
      <c r="J102" s="588">
        <f>IF(E102&gt;0,(I102-E102)/E102,(IF(I102=0,"N/A",100%)))</f>
        <v>9.2592592592592587E-2</v>
      </c>
      <c r="K102" s="585">
        <f>+K101+K100</f>
        <v>556</v>
      </c>
      <c r="L102" s="586">
        <f>+L101+L100</f>
        <v>1048</v>
      </c>
      <c r="M102" s="586">
        <f>+M101+M100</f>
        <v>0</v>
      </c>
      <c r="N102" s="586">
        <f>+N101+N100</f>
        <v>1604</v>
      </c>
      <c r="O102" s="613">
        <f t="shared" si="56"/>
        <v>8.7457627118644063E-2</v>
      </c>
      <c r="P102" s="585">
        <f>+P101+P100</f>
        <v>642</v>
      </c>
      <c r="Q102" s="586">
        <f>+Q101+Q100</f>
        <v>1169</v>
      </c>
      <c r="R102" s="586">
        <f>+R101+R100</f>
        <v>0</v>
      </c>
      <c r="S102" s="586">
        <f>+S101+S100</f>
        <v>1811</v>
      </c>
      <c r="T102" s="731">
        <f>IF(N102&gt;0,(S102-N102)/N102,(IF(S102=0,"N/A",100%)))</f>
        <v>0.12905236907730674</v>
      </c>
      <c r="U102" s="585">
        <f>+U101+U100</f>
        <v>703</v>
      </c>
      <c r="V102" s="586">
        <f>+V101+V100</f>
        <v>1449</v>
      </c>
      <c r="W102" s="586">
        <f>+W101+W100</f>
        <v>0</v>
      </c>
      <c r="X102" s="586">
        <f>+X101+X100</f>
        <v>2152</v>
      </c>
      <c r="Y102" s="613">
        <f>IF(S102&gt;0,(X102-S102)/S102,(IF(X102=0,"N/A",100%)))</f>
        <v>0.1882937603533959</v>
      </c>
      <c r="Z102" s="585">
        <f>+Z101+Z100</f>
        <v>813</v>
      </c>
      <c r="AA102" s="586">
        <f>+AA101+AA100</f>
        <v>1489</v>
      </c>
      <c r="AB102" s="586">
        <f>+AB101+AB100</f>
        <v>0</v>
      </c>
      <c r="AC102" s="586">
        <f>+AC101+AC100</f>
        <v>2302</v>
      </c>
      <c r="AD102" s="614">
        <f>IF(X102&gt;0,(AC102-X102)/X102,(IF(AC102=0,"N/A",100%)))</f>
        <v>6.9702602230483274E-2</v>
      </c>
    </row>
    <row r="103" spans="1:38" s="596" customFormat="1" ht="16.2" thickBot="1" x14ac:dyDescent="0.35">
      <c r="A103" s="590" t="s">
        <v>429</v>
      </c>
      <c r="B103" s="591">
        <f t="shared" ref="B103:I103" si="64">+B87+B91+B98+B102</f>
        <v>5548</v>
      </c>
      <c r="C103" s="592">
        <f t="shared" si="64"/>
        <v>1676</v>
      </c>
      <c r="D103" s="592">
        <f t="shared" si="64"/>
        <v>0</v>
      </c>
      <c r="E103" s="593">
        <f t="shared" si="64"/>
        <v>7224</v>
      </c>
      <c r="F103" s="591">
        <f t="shared" si="64"/>
        <v>5907</v>
      </c>
      <c r="G103" s="592">
        <f t="shared" si="64"/>
        <v>1825</v>
      </c>
      <c r="H103" s="592">
        <f t="shared" si="64"/>
        <v>0</v>
      </c>
      <c r="I103" s="592">
        <f t="shared" si="64"/>
        <v>7732</v>
      </c>
      <c r="J103" s="1269">
        <f>IF(E103&gt;0,(I103-E103)/E103,(IF(I103=0,"N/A",100%)))</f>
        <v>7.0321151716500552E-2</v>
      </c>
      <c r="K103" s="592">
        <f>+K87+K91+K98+K102</f>
        <v>7188</v>
      </c>
      <c r="L103" s="592">
        <f>+L87+L91+L98+L102</f>
        <v>1821</v>
      </c>
      <c r="M103" s="592">
        <f>+M87+M91+M98+M102</f>
        <v>0</v>
      </c>
      <c r="N103" s="592">
        <f>+N87+N91+N98+N102</f>
        <v>9009</v>
      </c>
      <c r="O103" s="642">
        <f t="shared" si="56"/>
        <v>0.16515778582514226</v>
      </c>
      <c r="P103" s="591">
        <f>+P87+P91+P98+P102</f>
        <v>7717</v>
      </c>
      <c r="Q103" s="592">
        <f>+Q87+Q91+Q98+Q102</f>
        <v>2086</v>
      </c>
      <c r="R103" s="592">
        <f>+R87+R91+R98+R102</f>
        <v>0</v>
      </c>
      <c r="S103" s="592">
        <f>+S87+S91+S98+S102</f>
        <v>9803</v>
      </c>
      <c r="T103" s="594">
        <f>IF(N103&gt;0,(S103-N103)/N103,(IF(S103=0,"N/A",100%)))</f>
        <v>8.8134088134088129E-2</v>
      </c>
      <c r="U103" s="591">
        <f>+U87+U91+U98+U102</f>
        <v>7878</v>
      </c>
      <c r="V103" s="592">
        <f>+V87+V91+V98+V102</f>
        <v>2235</v>
      </c>
      <c r="W103" s="592">
        <f>+W87+W91+W98+W102</f>
        <v>0</v>
      </c>
      <c r="X103" s="592">
        <f>+X87+X91+X98+X102</f>
        <v>10113</v>
      </c>
      <c r="Y103" s="594">
        <f>IF(S103&gt;0,(X103-S103)/S103,(IF(X103=0,"N/A",100%)))</f>
        <v>3.1622972559420585E-2</v>
      </c>
      <c r="Z103" s="591">
        <f>+Z87+Z91+Z98+Z102</f>
        <v>8068</v>
      </c>
      <c r="AA103" s="592">
        <f>+AA87+AA91+AA98+AA102</f>
        <v>2360</v>
      </c>
      <c r="AB103" s="592">
        <f>+AB87+AB91+AB98+AB102</f>
        <v>0</v>
      </c>
      <c r="AC103" s="592">
        <f>+AC87+AC91+AC98+AC102</f>
        <v>10428</v>
      </c>
      <c r="AD103" s="595">
        <f>IF(X103&gt;0,(AC103-X103)/X103,(IF(AC103=0,"N/A",100%)))</f>
        <v>3.1148027291604864E-2</v>
      </c>
    </row>
    <row r="104" spans="1:38" ht="14.25" customHeight="1" thickTop="1" x14ac:dyDescent="0.25">
      <c r="A104" s="604"/>
      <c r="B104" s="335"/>
      <c r="C104" s="335"/>
      <c r="D104" s="335"/>
      <c r="E104" s="335"/>
      <c r="F104" s="335"/>
      <c r="G104" s="335"/>
      <c r="H104" s="335"/>
      <c r="I104" s="335"/>
      <c r="J104" s="598"/>
      <c r="K104" s="328"/>
      <c r="L104" s="328"/>
      <c r="M104" s="328"/>
      <c r="N104" s="328"/>
      <c r="O104" s="328"/>
      <c r="P104" s="335"/>
      <c r="Q104" s="335"/>
      <c r="R104" s="335"/>
      <c r="S104" s="335"/>
      <c r="T104" s="598"/>
      <c r="U104" s="328"/>
      <c r="V104" s="328"/>
      <c r="W104" s="328"/>
      <c r="X104" s="328"/>
      <c r="Y104" s="328"/>
      <c r="Z104" s="328"/>
      <c r="AA104" s="328"/>
      <c r="AB104" s="328"/>
      <c r="AC104" s="328"/>
      <c r="AD104" s="328"/>
      <c r="AE104" s="328"/>
      <c r="AF104" s="328"/>
      <c r="AG104" s="328"/>
      <c r="AH104" s="328"/>
      <c r="AI104" s="328"/>
      <c r="AJ104" s="328"/>
      <c r="AK104" s="328"/>
      <c r="AL104" s="328"/>
    </row>
    <row r="105" spans="1:38" ht="14.25" customHeight="1" thickBot="1" x14ac:dyDescent="0.3">
      <c r="A105" s="604"/>
      <c r="B105" s="335"/>
      <c r="C105" s="335"/>
      <c r="D105" s="335"/>
      <c r="E105" s="335"/>
      <c r="F105" s="335"/>
      <c r="G105" s="335"/>
      <c r="H105" s="335"/>
      <c r="I105" s="335"/>
      <c r="J105" s="598"/>
      <c r="K105" s="328"/>
      <c r="L105" s="328"/>
      <c r="M105" s="328"/>
      <c r="N105" s="328"/>
      <c r="O105" s="328"/>
      <c r="P105" s="335"/>
      <c r="Q105" s="335"/>
      <c r="R105" s="335"/>
      <c r="S105" s="335"/>
      <c r="T105" s="598"/>
      <c r="U105" s="328"/>
      <c r="V105" s="328"/>
      <c r="W105" s="328"/>
      <c r="X105" s="328"/>
      <c r="Y105" s="328"/>
      <c r="Z105" s="328"/>
      <c r="AA105" s="328"/>
      <c r="AB105" s="328"/>
      <c r="AC105" s="328"/>
      <c r="AD105" s="328"/>
      <c r="AE105" s="328"/>
      <c r="AF105" s="328"/>
      <c r="AG105" s="328"/>
      <c r="AH105" s="328"/>
      <c r="AI105" s="328"/>
      <c r="AJ105" s="328"/>
      <c r="AK105" s="328"/>
      <c r="AL105" s="328"/>
    </row>
    <row r="106" spans="1:38" ht="13.8" thickTop="1" x14ac:dyDescent="0.25">
      <c r="A106" s="621" t="s">
        <v>930</v>
      </c>
      <c r="B106" s="622"/>
      <c r="C106" s="623"/>
      <c r="D106" s="623"/>
      <c r="E106" s="625"/>
      <c r="F106" s="622"/>
      <c r="G106" s="623"/>
      <c r="H106" s="623"/>
      <c r="I106" s="623"/>
      <c r="J106" s="625"/>
      <c r="K106" s="622"/>
      <c r="L106" s="623"/>
      <c r="M106" s="623"/>
      <c r="N106" s="623"/>
      <c r="O106" s="624"/>
      <c r="P106" s="622"/>
      <c r="Q106" s="623"/>
      <c r="R106" s="623"/>
      <c r="S106" s="623"/>
      <c r="T106" s="625"/>
      <c r="U106" s="622"/>
      <c r="V106" s="623"/>
      <c r="W106" s="623"/>
      <c r="X106" s="623"/>
      <c r="Y106" s="624"/>
      <c r="Z106" s="622"/>
      <c r="AA106" s="623"/>
      <c r="AB106" s="623"/>
      <c r="AC106" s="623"/>
      <c r="AD106" s="626"/>
      <c r="AE106" s="328"/>
      <c r="AF106" s="328"/>
      <c r="AG106" s="328"/>
      <c r="AH106" s="328"/>
      <c r="AI106" s="328"/>
      <c r="AJ106" s="328"/>
      <c r="AK106" s="328"/>
      <c r="AL106" s="328"/>
    </row>
    <row r="107" spans="1:38" x14ac:dyDescent="0.25">
      <c r="A107" s="566" t="s">
        <v>1522</v>
      </c>
      <c r="B107" s="1227"/>
      <c r="C107" s="1227"/>
      <c r="D107" s="1230"/>
      <c r="E107" s="745"/>
      <c r="F107" s="1227">
        <v>0</v>
      </c>
      <c r="G107" s="1227">
        <v>0</v>
      </c>
      <c r="H107" s="1230">
        <v>0</v>
      </c>
      <c r="I107" s="745">
        <f t="shared" ref="I107:I114" si="65">SUM(F107:H107)</f>
        <v>0</v>
      </c>
      <c r="J107" s="155" t="str">
        <f t="shared" ref="J107:J115" si="66">IF(E107&gt;0,(I107-E107)/E107,(IF(I107=0,"N/A",100%)))</f>
        <v>N/A</v>
      </c>
      <c r="K107" s="154">
        <v>0</v>
      </c>
      <c r="L107" s="154">
        <v>0</v>
      </c>
      <c r="M107" s="581">
        <v>0</v>
      </c>
      <c r="N107" s="154">
        <f t="shared" ref="N107:N114" si="67">SUM(K107:M107)</f>
        <v>0</v>
      </c>
      <c r="O107" s="602" t="str">
        <f t="shared" ref="O107:O115" si="68">IF(I107&gt;0,(N107-I107)/I107,(IF(N107=0,"N/A",100%)))</f>
        <v>N/A</v>
      </c>
      <c r="P107" s="512">
        <v>0</v>
      </c>
      <c r="Q107" s="154">
        <v>0</v>
      </c>
      <c r="R107" s="581">
        <v>0</v>
      </c>
      <c r="S107" s="745">
        <f t="shared" ref="S107:S114" si="69">SUM(P107:R107)</f>
        <v>0</v>
      </c>
      <c r="T107" s="602" t="str">
        <f t="shared" ref="T107:T115" si="70">IF(N107&gt;0,(S107-N107)/N107,(IF(S107=0,"N/A",100%)))</f>
        <v>N/A</v>
      </c>
      <c r="U107" s="154">
        <v>0</v>
      </c>
      <c r="V107" s="154">
        <v>0</v>
      </c>
      <c r="W107" s="581">
        <v>0</v>
      </c>
      <c r="X107" s="154">
        <f t="shared" ref="X107:X114" si="71">SUM(U107:W107)</f>
        <v>0</v>
      </c>
      <c r="Y107" s="602" t="str">
        <f t="shared" ref="Y107:Y115" si="72">IF(S107&gt;0,(X107-S107)/S107,(IF(X107=0,"N/A",100%)))</f>
        <v>N/A</v>
      </c>
      <c r="Z107" s="154">
        <v>10</v>
      </c>
      <c r="AA107" s="154">
        <v>0</v>
      </c>
      <c r="AB107" s="581">
        <v>0</v>
      </c>
      <c r="AC107" s="154">
        <f t="shared" ref="AC107:AC114" si="73">SUM(Z107:AB107)</f>
        <v>10</v>
      </c>
      <c r="AD107" s="567">
        <f t="shared" ref="AD107:AD115" si="74">IF(X107&gt;0,(AC107-X107)/X107,(IF(AC107=0,"N/A",100%)))</f>
        <v>1</v>
      </c>
      <c r="AE107" s="328"/>
      <c r="AF107" s="328"/>
      <c r="AG107" s="328"/>
      <c r="AH107" s="328"/>
      <c r="AI107" s="328"/>
      <c r="AJ107" s="328"/>
      <c r="AK107" s="328"/>
      <c r="AL107" s="328"/>
    </row>
    <row r="108" spans="1:38" x14ac:dyDescent="0.25">
      <c r="A108" s="566" t="s">
        <v>998</v>
      </c>
      <c r="B108" s="1227">
        <v>98</v>
      </c>
      <c r="C108" s="1227">
        <v>0</v>
      </c>
      <c r="D108" s="1230">
        <v>0</v>
      </c>
      <c r="E108" s="745">
        <f t="shared" ref="E108:E114" si="75">SUM(B108:D108)</f>
        <v>98</v>
      </c>
      <c r="F108" s="1227">
        <v>120</v>
      </c>
      <c r="G108" s="1227">
        <v>0</v>
      </c>
      <c r="H108" s="1230">
        <v>0</v>
      </c>
      <c r="I108" s="745">
        <f t="shared" si="65"/>
        <v>120</v>
      </c>
      <c r="J108" s="155">
        <f t="shared" si="66"/>
        <v>0.22448979591836735</v>
      </c>
      <c r="K108" s="154">
        <v>166</v>
      </c>
      <c r="L108" s="154">
        <v>0</v>
      </c>
      <c r="M108" s="581">
        <v>0</v>
      </c>
      <c r="N108" s="154">
        <f t="shared" si="67"/>
        <v>166</v>
      </c>
      <c r="O108" s="602">
        <f t="shared" si="68"/>
        <v>0.38333333333333336</v>
      </c>
      <c r="P108" s="512">
        <v>224</v>
      </c>
      <c r="Q108" s="154">
        <v>0</v>
      </c>
      <c r="R108" s="581">
        <v>0</v>
      </c>
      <c r="S108" s="745">
        <f t="shared" si="69"/>
        <v>224</v>
      </c>
      <c r="T108" s="602">
        <f t="shared" si="70"/>
        <v>0.3493975903614458</v>
      </c>
      <c r="U108" s="154">
        <v>210</v>
      </c>
      <c r="V108" s="154">
        <v>0</v>
      </c>
      <c r="W108" s="581">
        <v>0</v>
      </c>
      <c r="X108" s="154">
        <f t="shared" si="71"/>
        <v>210</v>
      </c>
      <c r="Y108" s="602">
        <f t="shared" si="72"/>
        <v>-6.25E-2</v>
      </c>
      <c r="Z108" s="154">
        <v>148</v>
      </c>
      <c r="AA108" s="154">
        <v>0</v>
      </c>
      <c r="AB108" s="581">
        <v>0</v>
      </c>
      <c r="AC108" s="154">
        <f t="shared" si="73"/>
        <v>148</v>
      </c>
      <c r="AD108" s="567">
        <f t="shared" si="74"/>
        <v>-0.29523809523809524</v>
      </c>
      <c r="AE108" s="328"/>
      <c r="AF108" s="328"/>
      <c r="AG108" s="328"/>
      <c r="AH108" s="328"/>
      <c r="AI108" s="328"/>
      <c r="AJ108" s="328"/>
      <c r="AK108" s="328"/>
      <c r="AL108" s="328"/>
    </row>
    <row r="109" spans="1:38" x14ac:dyDescent="0.25">
      <c r="A109" s="566" t="s">
        <v>701</v>
      </c>
      <c r="B109" s="1227">
        <v>33</v>
      </c>
      <c r="C109" s="1227">
        <v>0</v>
      </c>
      <c r="D109" s="1230">
        <v>0</v>
      </c>
      <c r="E109" s="745">
        <f t="shared" si="75"/>
        <v>33</v>
      </c>
      <c r="F109" s="1227">
        <v>33</v>
      </c>
      <c r="G109" s="1227">
        <v>0</v>
      </c>
      <c r="H109" s="1230">
        <v>0</v>
      </c>
      <c r="I109" s="745">
        <f t="shared" si="65"/>
        <v>33</v>
      </c>
      <c r="J109" s="155">
        <f t="shared" si="66"/>
        <v>0</v>
      </c>
      <c r="K109" s="154">
        <v>45</v>
      </c>
      <c r="L109" s="154">
        <v>0</v>
      </c>
      <c r="M109" s="581">
        <v>0</v>
      </c>
      <c r="N109" s="154">
        <f t="shared" si="67"/>
        <v>45</v>
      </c>
      <c r="O109" s="602">
        <f t="shared" si="68"/>
        <v>0.36363636363636365</v>
      </c>
      <c r="P109" s="154">
        <v>57</v>
      </c>
      <c r="Q109" s="154">
        <v>0</v>
      </c>
      <c r="R109" s="581">
        <v>0</v>
      </c>
      <c r="S109" s="745">
        <f t="shared" si="69"/>
        <v>57</v>
      </c>
      <c r="T109" s="602">
        <f t="shared" si="70"/>
        <v>0.26666666666666666</v>
      </c>
      <c r="U109" s="154">
        <v>111</v>
      </c>
      <c r="V109" s="154">
        <v>0</v>
      </c>
      <c r="W109" s="581">
        <v>0</v>
      </c>
      <c r="X109" s="154">
        <f t="shared" si="71"/>
        <v>111</v>
      </c>
      <c r="Y109" s="602">
        <f t="shared" si="72"/>
        <v>0.94736842105263153</v>
      </c>
      <c r="Z109" s="154">
        <v>84</v>
      </c>
      <c r="AA109" s="154">
        <v>0</v>
      </c>
      <c r="AB109" s="581">
        <v>0</v>
      </c>
      <c r="AC109" s="154">
        <f t="shared" si="73"/>
        <v>84</v>
      </c>
      <c r="AD109" s="567">
        <f t="shared" si="74"/>
        <v>-0.24324324324324326</v>
      </c>
      <c r="AE109" s="328"/>
      <c r="AF109" s="328"/>
      <c r="AG109" s="328"/>
      <c r="AH109" s="328"/>
      <c r="AI109" s="328"/>
      <c r="AJ109" s="328"/>
      <c r="AK109" s="328"/>
      <c r="AL109" s="328"/>
    </row>
    <row r="110" spans="1:38" x14ac:dyDescent="0.25">
      <c r="A110" s="566" t="s">
        <v>1000</v>
      </c>
      <c r="B110" s="1227">
        <v>0</v>
      </c>
      <c r="C110" s="1227">
        <v>0</v>
      </c>
      <c r="D110" s="1230">
        <v>0</v>
      </c>
      <c r="E110" s="745">
        <f t="shared" si="75"/>
        <v>0</v>
      </c>
      <c r="F110" s="1227">
        <v>0</v>
      </c>
      <c r="G110" s="1227">
        <v>0</v>
      </c>
      <c r="H110" s="1230">
        <v>0</v>
      </c>
      <c r="I110" s="745">
        <f t="shared" si="65"/>
        <v>0</v>
      </c>
      <c r="J110" s="155" t="str">
        <f t="shared" si="66"/>
        <v>N/A</v>
      </c>
      <c r="K110" s="154">
        <v>0</v>
      </c>
      <c r="L110" s="154">
        <v>0</v>
      </c>
      <c r="M110" s="581">
        <v>0</v>
      </c>
      <c r="N110" s="154">
        <f t="shared" si="67"/>
        <v>0</v>
      </c>
      <c r="O110" s="602" t="str">
        <f t="shared" si="68"/>
        <v>N/A</v>
      </c>
      <c r="P110" s="154">
        <v>0</v>
      </c>
      <c r="Q110" s="154">
        <v>0</v>
      </c>
      <c r="R110" s="581">
        <v>0</v>
      </c>
      <c r="S110" s="745">
        <f t="shared" si="69"/>
        <v>0</v>
      </c>
      <c r="T110" s="602" t="str">
        <f t="shared" si="70"/>
        <v>N/A</v>
      </c>
      <c r="U110" s="154">
        <v>0</v>
      </c>
      <c r="V110" s="154">
        <v>0</v>
      </c>
      <c r="W110" s="581">
        <v>0</v>
      </c>
      <c r="X110" s="154">
        <f t="shared" si="71"/>
        <v>0</v>
      </c>
      <c r="Y110" s="602" t="str">
        <f t="shared" si="72"/>
        <v>N/A</v>
      </c>
      <c r="Z110" s="154">
        <v>0</v>
      </c>
      <c r="AA110" s="154">
        <v>0</v>
      </c>
      <c r="AB110" s="581">
        <v>0</v>
      </c>
      <c r="AC110" s="154">
        <f t="shared" si="73"/>
        <v>0</v>
      </c>
      <c r="AD110" s="567" t="str">
        <f t="shared" si="74"/>
        <v>N/A</v>
      </c>
      <c r="AE110" s="328"/>
      <c r="AF110" s="328"/>
      <c r="AG110" s="328"/>
      <c r="AH110" s="328"/>
      <c r="AI110" s="328"/>
      <c r="AJ110" s="328"/>
      <c r="AK110" s="328"/>
      <c r="AL110" s="328"/>
    </row>
    <row r="111" spans="1:38" x14ac:dyDescent="0.25">
      <c r="A111" s="566" t="s">
        <v>1001</v>
      </c>
      <c r="B111" s="1227">
        <v>0</v>
      </c>
      <c r="C111" s="1227">
        <v>36</v>
      </c>
      <c r="D111" s="1230">
        <v>0</v>
      </c>
      <c r="E111" s="745">
        <f t="shared" si="75"/>
        <v>36</v>
      </c>
      <c r="F111" s="1227">
        <v>0</v>
      </c>
      <c r="G111" s="1227">
        <v>24</v>
      </c>
      <c r="H111" s="1230">
        <v>0</v>
      </c>
      <c r="I111" s="745">
        <f t="shared" si="65"/>
        <v>24</v>
      </c>
      <c r="J111" s="155">
        <f t="shared" si="66"/>
        <v>-0.33333333333333331</v>
      </c>
      <c r="K111" s="154">
        <v>0</v>
      </c>
      <c r="L111" s="154">
        <v>69</v>
      </c>
      <c r="M111" s="581">
        <v>0</v>
      </c>
      <c r="N111" s="154">
        <f t="shared" si="67"/>
        <v>69</v>
      </c>
      <c r="O111" s="602">
        <f t="shared" si="68"/>
        <v>1.875</v>
      </c>
      <c r="P111" s="154">
        <v>0</v>
      </c>
      <c r="Q111" s="154">
        <v>24</v>
      </c>
      <c r="R111" s="581">
        <v>0</v>
      </c>
      <c r="S111" s="745">
        <f t="shared" si="69"/>
        <v>24</v>
      </c>
      <c r="T111" s="602">
        <f t="shared" si="70"/>
        <v>-0.65217391304347827</v>
      </c>
      <c r="U111" s="154">
        <v>0</v>
      </c>
      <c r="V111" s="154">
        <v>0</v>
      </c>
      <c r="W111" s="581">
        <v>0</v>
      </c>
      <c r="X111" s="154">
        <f t="shared" si="71"/>
        <v>0</v>
      </c>
      <c r="Y111" s="602">
        <f t="shared" si="72"/>
        <v>-1</v>
      </c>
      <c r="Z111" s="154">
        <v>0</v>
      </c>
      <c r="AA111" s="154">
        <v>96</v>
      </c>
      <c r="AB111" s="581">
        <v>0</v>
      </c>
      <c r="AC111" s="154">
        <f t="shared" si="73"/>
        <v>96</v>
      </c>
      <c r="AD111" s="567">
        <f t="shared" si="74"/>
        <v>1</v>
      </c>
      <c r="AE111" s="328"/>
      <c r="AF111" s="328"/>
      <c r="AG111" s="328"/>
      <c r="AH111" s="328"/>
      <c r="AI111" s="328"/>
      <c r="AJ111" s="328"/>
      <c r="AK111" s="328"/>
      <c r="AL111" s="328"/>
    </row>
    <row r="112" spans="1:38" x14ac:dyDescent="0.25">
      <c r="A112" s="566" t="s">
        <v>1002</v>
      </c>
      <c r="B112" s="1227">
        <v>0</v>
      </c>
      <c r="C112" s="1227">
        <v>0</v>
      </c>
      <c r="D112" s="1230">
        <v>0</v>
      </c>
      <c r="E112" s="745">
        <f t="shared" si="75"/>
        <v>0</v>
      </c>
      <c r="F112" s="1227">
        <v>0</v>
      </c>
      <c r="G112" s="1227">
        <v>0</v>
      </c>
      <c r="H112" s="1230">
        <v>0</v>
      </c>
      <c r="I112" s="745">
        <f t="shared" si="65"/>
        <v>0</v>
      </c>
      <c r="J112" s="155" t="str">
        <f t="shared" si="66"/>
        <v>N/A</v>
      </c>
      <c r="K112" s="154">
        <v>0</v>
      </c>
      <c r="L112" s="154">
        <v>0</v>
      </c>
      <c r="M112" s="581">
        <v>0</v>
      </c>
      <c r="N112" s="154">
        <f t="shared" si="67"/>
        <v>0</v>
      </c>
      <c r="O112" s="602" t="str">
        <f t="shared" si="68"/>
        <v>N/A</v>
      </c>
      <c r="P112" s="154">
        <v>0</v>
      </c>
      <c r="Q112" s="154">
        <v>0</v>
      </c>
      <c r="R112" s="581">
        <v>0</v>
      </c>
      <c r="S112" s="745">
        <f t="shared" si="69"/>
        <v>0</v>
      </c>
      <c r="T112" s="602" t="str">
        <f t="shared" si="70"/>
        <v>N/A</v>
      </c>
      <c r="U112" s="154">
        <v>14</v>
      </c>
      <c r="V112" s="154">
        <v>0</v>
      </c>
      <c r="W112" s="581">
        <v>0</v>
      </c>
      <c r="X112" s="154">
        <f t="shared" si="71"/>
        <v>14</v>
      </c>
      <c r="Y112" s="602">
        <f t="shared" si="72"/>
        <v>1</v>
      </c>
      <c r="Z112" s="154">
        <v>13</v>
      </c>
      <c r="AA112" s="154">
        <v>0</v>
      </c>
      <c r="AB112" s="581">
        <v>0</v>
      </c>
      <c r="AC112" s="154">
        <f t="shared" si="73"/>
        <v>13</v>
      </c>
      <c r="AD112" s="567">
        <f t="shared" si="74"/>
        <v>-7.1428571428571425E-2</v>
      </c>
      <c r="AE112" s="328"/>
      <c r="AF112" s="328"/>
      <c r="AG112" s="328"/>
      <c r="AH112" s="328"/>
      <c r="AI112" s="328"/>
      <c r="AJ112" s="328"/>
      <c r="AK112" s="328"/>
      <c r="AL112" s="328"/>
    </row>
    <row r="113" spans="1:39" x14ac:dyDescent="0.25">
      <c r="A113" s="566" t="s">
        <v>1143</v>
      </c>
      <c r="B113" s="1227">
        <v>0</v>
      </c>
      <c r="C113" s="1227">
        <v>0</v>
      </c>
      <c r="D113" s="1230">
        <v>0</v>
      </c>
      <c r="E113" s="745">
        <f t="shared" si="75"/>
        <v>0</v>
      </c>
      <c r="F113" s="1227">
        <v>0</v>
      </c>
      <c r="G113" s="1227">
        <v>0</v>
      </c>
      <c r="H113" s="1230">
        <v>0</v>
      </c>
      <c r="I113" s="745">
        <f t="shared" si="65"/>
        <v>0</v>
      </c>
      <c r="J113" s="155" t="str">
        <f t="shared" si="66"/>
        <v>N/A</v>
      </c>
      <c r="K113" s="154">
        <v>0</v>
      </c>
      <c r="L113" s="154">
        <v>0</v>
      </c>
      <c r="M113" s="581">
        <v>0</v>
      </c>
      <c r="N113" s="154">
        <f t="shared" si="67"/>
        <v>0</v>
      </c>
      <c r="O113" s="602" t="str">
        <f t="shared" si="68"/>
        <v>N/A</v>
      </c>
      <c r="P113" s="154">
        <v>0</v>
      </c>
      <c r="Q113" s="154">
        <v>0</v>
      </c>
      <c r="R113" s="581">
        <v>0</v>
      </c>
      <c r="S113" s="745">
        <f t="shared" si="69"/>
        <v>0</v>
      </c>
      <c r="T113" s="602" t="str">
        <f t="shared" si="70"/>
        <v>N/A</v>
      </c>
      <c r="U113" s="154">
        <v>0</v>
      </c>
      <c r="V113" s="154">
        <v>0</v>
      </c>
      <c r="W113" s="581">
        <v>0</v>
      </c>
      <c r="X113" s="154">
        <f t="shared" si="71"/>
        <v>0</v>
      </c>
      <c r="Y113" s="602" t="str">
        <f t="shared" si="72"/>
        <v>N/A</v>
      </c>
      <c r="Z113" s="154">
        <v>0</v>
      </c>
      <c r="AA113" s="154">
        <v>0</v>
      </c>
      <c r="AB113" s="581">
        <v>0</v>
      </c>
      <c r="AC113" s="154">
        <f t="shared" si="73"/>
        <v>0</v>
      </c>
      <c r="AD113" s="567" t="str">
        <f t="shared" si="74"/>
        <v>N/A</v>
      </c>
      <c r="AE113" s="328"/>
      <c r="AF113" s="328"/>
      <c r="AG113" s="328"/>
      <c r="AH113" s="328"/>
      <c r="AI113" s="328"/>
      <c r="AJ113" s="328"/>
      <c r="AK113" s="328"/>
      <c r="AL113" s="328"/>
    </row>
    <row r="114" spans="1:39" x14ac:dyDescent="0.25">
      <c r="A114" s="579" t="s">
        <v>412</v>
      </c>
      <c r="B114" s="1229">
        <v>50</v>
      </c>
      <c r="C114" s="1229">
        <v>48</v>
      </c>
      <c r="D114" s="1230">
        <v>0</v>
      </c>
      <c r="E114" s="749">
        <f t="shared" si="75"/>
        <v>98</v>
      </c>
      <c r="F114" s="1229">
        <v>28</v>
      </c>
      <c r="G114" s="1229">
        <v>36</v>
      </c>
      <c r="H114" s="1230">
        <v>0</v>
      </c>
      <c r="I114" s="745">
        <f t="shared" si="65"/>
        <v>64</v>
      </c>
      <c r="J114" s="616">
        <f t="shared" si="66"/>
        <v>-0.34693877551020408</v>
      </c>
      <c r="K114" s="580">
        <v>79</v>
      </c>
      <c r="L114" s="580">
        <v>30</v>
      </c>
      <c r="M114" s="581">
        <v>0</v>
      </c>
      <c r="N114" s="580">
        <f t="shared" si="67"/>
        <v>109</v>
      </c>
      <c r="O114" s="602">
        <f t="shared" si="68"/>
        <v>0.703125</v>
      </c>
      <c r="P114" s="580">
        <v>48</v>
      </c>
      <c r="Q114" s="580">
        <v>51</v>
      </c>
      <c r="R114" s="581">
        <v>0</v>
      </c>
      <c r="S114" s="745">
        <f t="shared" si="69"/>
        <v>99</v>
      </c>
      <c r="T114" s="602">
        <f t="shared" si="70"/>
        <v>-9.1743119266055051E-2</v>
      </c>
      <c r="U114" s="580">
        <v>47</v>
      </c>
      <c r="V114" s="580">
        <v>37</v>
      </c>
      <c r="W114" s="581">
        <v>0</v>
      </c>
      <c r="X114" s="580">
        <f t="shared" si="71"/>
        <v>84</v>
      </c>
      <c r="Y114" s="602">
        <f t="shared" si="72"/>
        <v>-0.15151515151515152</v>
      </c>
      <c r="Z114" s="580">
        <v>63</v>
      </c>
      <c r="AA114" s="580">
        <v>32</v>
      </c>
      <c r="AB114" s="581">
        <v>0</v>
      </c>
      <c r="AC114" s="580">
        <f t="shared" si="73"/>
        <v>95</v>
      </c>
      <c r="AD114" s="567">
        <f t="shared" si="74"/>
        <v>0.13095238095238096</v>
      </c>
      <c r="AE114" s="328"/>
      <c r="AF114" s="328"/>
      <c r="AG114" s="328"/>
      <c r="AH114" s="328"/>
      <c r="AI114" s="328"/>
      <c r="AJ114" s="328"/>
      <c r="AK114" s="328"/>
      <c r="AL114" s="328"/>
    </row>
    <row r="115" spans="1:39" s="575" customFormat="1" ht="16.2" thickBot="1" x14ac:dyDescent="0.35">
      <c r="A115" s="628" t="s">
        <v>961</v>
      </c>
      <c r="B115" s="629">
        <f t="shared" ref="B115:E115" si="76">SUM(B108:B114)</f>
        <v>181</v>
      </c>
      <c r="C115" s="629">
        <f t="shared" si="76"/>
        <v>84</v>
      </c>
      <c r="D115" s="629">
        <f t="shared" si="76"/>
        <v>0</v>
      </c>
      <c r="E115" s="950">
        <f t="shared" si="76"/>
        <v>265</v>
      </c>
      <c r="F115" s="879">
        <f>SUM(F107:F114)</f>
        <v>181</v>
      </c>
      <c r="G115" s="879">
        <f>SUM(G107:G114)</f>
        <v>60</v>
      </c>
      <c r="H115" s="879">
        <f>SUM(H107:H114)</f>
        <v>0</v>
      </c>
      <c r="I115" s="879">
        <f>SUM(I107:I114)</f>
        <v>241</v>
      </c>
      <c r="J115" s="631">
        <f t="shared" si="66"/>
        <v>-9.056603773584905E-2</v>
      </c>
      <c r="K115" s="879">
        <f>SUM(K107:K114)</f>
        <v>290</v>
      </c>
      <c r="L115" s="879">
        <f>SUM(L107:L114)</f>
        <v>99</v>
      </c>
      <c r="M115" s="879">
        <f>SUM(M107:M114)</f>
        <v>0</v>
      </c>
      <c r="N115" s="879">
        <f>SUM(N107:N114)</f>
        <v>389</v>
      </c>
      <c r="O115" s="594">
        <f t="shared" si="68"/>
        <v>0.61410788381742742</v>
      </c>
      <c r="P115" s="879">
        <f>SUM(P107:P114)</f>
        <v>329</v>
      </c>
      <c r="Q115" s="879">
        <f>SUM(Q107:Q114)</f>
        <v>75</v>
      </c>
      <c r="R115" s="879">
        <f>SUM(R107:R114)</f>
        <v>0</v>
      </c>
      <c r="S115" s="879">
        <f>SUM(S107:S114)</f>
        <v>404</v>
      </c>
      <c r="T115" s="1217">
        <f t="shared" si="70"/>
        <v>3.8560411311053984E-2</v>
      </c>
      <c r="U115" s="879">
        <f>SUM(U107:U114)</f>
        <v>382</v>
      </c>
      <c r="V115" s="879">
        <f>SUM(V107:V114)</f>
        <v>37</v>
      </c>
      <c r="W115" s="879">
        <f>SUM(W107:W114)</f>
        <v>0</v>
      </c>
      <c r="X115" s="879">
        <f>SUM(X107:X114)</f>
        <v>419</v>
      </c>
      <c r="Y115" s="594">
        <f t="shared" si="72"/>
        <v>3.7128712871287127E-2</v>
      </c>
      <c r="Z115" s="874">
        <f>SUM(Z107:Z114)</f>
        <v>318</v>
      </c>
      <c r="AA115" s="879">
        <f>SUM(AA107:AA114)</f>
        <v>128</v>
      </c>
      <c r="AB115" s="879">
        <f>SUM(AB107:AB114)</f>
        <v>0</v>
      </c>
      <c r="AC115" s="879">
        <f>SUM(AC107:AC114)</f>
        <v>446</v>
      </c>
      <c r="AD115" s="595">
        <f t="shared" si="74"/>
        <v>6.4439140811455853E-2</v>
      </c>
    </row>
    <row r="116" spans="1:39" s="575" customFormat="1" ht="14.25" customHeight="1" thickTop="1" x14ac:dyDescent="0.25">
      <c r="A116" s="633"/>
      <c r="B116" s="634"/>
      <c r="C116" s="634"/>
      <c r="D116" s="634"/>
      <c r="E116" s="634"/>
      <c r="F116" s="634"/>
      <c r="G116" s="634"/>
      <c r="H116" s="634"/>
      <c r="I116" s="634"/>
      <c r="J116" s="635"/>
      <c r="P116" s="634"/>
      <c r="Q116" s="634"/>
      <c r="R116" s="634"/>
      <c r="S116" s="634"/>
      <c r="T116" s="635"/>
    </row>
    <row r="117" spans="1:39" ht="14.25" customHeight="1" thickBot="1" x14ac:dyDescent="0.3">
      <c r="A117" s="604"/>
      <c r="B117" s="335"/>
      <c r="C117" s="335"/>
      <c r="D117" s="335"/>
      <c r="E117" s="335"/>
      <c r="F117" s="335"/>
      <c r="G117" s="335"/>
      <c r="H117" s="335"/>
      <c r="I117" s="335"/>
      <c r="J117" s="598"/>
      <c r="K117" s="328"/>
      <c r="L117" s="328"/>
      <c r="M117" s="328"/>
      <c r="N117" s="328"/>
      <c r="O117" s="328"/>
      <c r="P117" s="335"/>
      <c r="Q117" s="335"/>
      <c r="R117" s="335"/>
      <c r="S117" s="335"/>
      <c r="T117" s="598"/>
      <c r="U117" s="328"/>
      <c r="V117" s="328"/>
      <c r="W117" s="328"/>
      <c r="X117" s="328"/>
      <c r="Y117" s="328"/>
      <c r="Z117" s="328"/>
      <c r="AA117" s="328"/>
      <c r="AB117" s="328"/>
      <c r="AC117" s="328"/>
      <c r="AD117" s="328"/>
      <c r="AE117" s="328"/>
      <c r="AF117" s="328"/>
      <c r="AG117" s="328"/>
      <c r="AH117" s="328"/>
      <c r="AI117" s="328"/>
      <c r="AJ117" s="328"/>
      <c r="AK117" s="328"/>
      <c r="AL117" s="328"/>
    </row>
    <row r="118" spans="1:39" s="596" customFormat="1" ht="16.8" thickTop="1" thickBot="1" x14ac:dyDescent="0.35">
      <c r="A118" s="1237" t="s">
        <v>949</v>
      </c>
      <c r="B118" s="1238">
        <f t="shared" ref="B118:I118" si="77">+B115+B103+B80+B43+B23</f>
        <v>19988</v>
      </c>
      <c r="C118" s="1238">
        <f t="shared" si="77"/>
        <v>10331.5</v>
      </c>
      <c r="D118" s="1238">
        <f t="shared" si="77"/>
        <v>363</v>
      </c>
      <c r="E118" s="1239">
        <f t="shared" si="77"/>
        <v>30682.5</v>
      </c>
      <c r="F118" s="1238">
        <f t="shared" si="77"/>
        <v>21978</v>
      </c>
      <c r="G118" s="1238">
        <f t="shared" si="77"/>
        <v>10942</v>
      </c>
      <c r="H118" s="1238">
        <f t="shared" si="77"/>
        <v>465</v>
      </c>
      <c r="I118" s="1238">
        <f t="shared" si="77"/>
        <v>33385</v>
      </c>
      <c r="J118" s="1240">
        <f>IF(E118&gt;0,(I118-E118)/E118,(IF(I118=0,"N/A",100%)))</f>
        <v>8.8079524158722403E-2</v>
      </c>
      <c r="K118" s="1238">
        <f>+K115+K103+K80+K43+K23</f>
        <v>25648.5</v>
      </c>
      <c r="L118" s="1238">
        <f>+L115+L103+L80+L43+L23</f>
        <v>11196</v>
      </c>
      <c r="M118" s="1238">
        <f>+M115+M103+M80+M43+M23</f>
        <v>324</v>
      </c>
      <c r="N118" s="1238">
        <f>+N115+N103+N80+N43+N23</f>
        <v>37168.5</v>
      </c>
      <c r="O118" s="1268">
        <f>IF(I118&gt;0,(N118-I118)/I118,(IF(N118=0,"N/A",100%)))</f>
        <v>0.11332933952373821</v>
      </c>
      <c r="P118" s="1238">
        <f>+P115+P103+P80+P43+P23</f>
        <v>27609</v>
      </c>
      <c r="Q118" s="1238">
        <f>+Q115+Q103+Q80+Q43+Q23</f>
        <v>11117</v>
      </c>
      <c r="R118" s="1238">
        <f>+R115+R103+R80+R43+R23</f>
        <v>414</v>
      </c>
      <c r="S118" s="1242">
        <f>+S115+S103+S80+S43+S23</f>
        <v>39140</v>
      </c>
      <c r="T118" s="1215">
        <f>IF(N118&gt;0,(S118-N118)/N118,(IF(S118=0,"N/A",100%)))</f>
        <v>5.3042226616624291E-2</v>
      </c>
      <c r="U118" s="1238">
        <f>+U115+U103+U80+U43+U23</f>
        <v>27775</v>
      </c>
      <c r="V118" s="1238">
        <f>+V115+V103+V80+V43+V23</f>
        <v>11566</v>
      </c>
      <c r="W118" s="1238">
        <f>+W115+W103+W80+W43+W23</f>
        <v>363</v>
      </c>
      <c r="X118" s="1238">
        <f>+X115+X103+X80+X43+X23</f>
        <v>39704</v>
      </c>
      <c r="Y118" s="1268">
        <f>IF(S118&gt;0,(X118-S118)/S118,(IF(X118=0,"N/A",100%)))</f>
        <v>1.4409810935104753E-2</v>
      </c>
      <c r="Z118" s="1238">
        <f>+Z115+Z103+Z80+Z43+Z23</f>
        <v>26311.5</v>
      </c>
      <c r="AA118" s="1238">
        <f>+AA115+AA103+AA80+AA43+AA23</f>
        <v>11992</v>
      </c>
      <c r="AB118" s="1238">
        <f>+AB115+AB103+AB80+AB43+AB23</f>
        <v>447</v>
      </c>
      <c r="AC118" s="1238">
        <f>+AC115+AC103+AC80+AC43+AC23</f>
        <v>38750.5</v>
      </c>
      <c r="AD118" s="1241">
        <f>IF(X118&gt;0,(AC118-X118)/X118,(IF(AC118=0,"N/A",100%)))</f>
        <v>-2.4015212573040498E-2</v>
      </c>
    </row>
    <row r="119" spans="1:39" ht="13.8" thickTop="1" x14ac:dyDescent="0.25">
      <c r="A119" s="1725" t="s">
        <v>1012</v>
      </c>
      <c r="B119" s="1725"/>
      <c r="C119" s="1725"/>
      <c r="D119" s="1725"/>
      <c r="E119" s="1725"/>
      <c r="J119" s="710"/>
      <c r="K119" s="328"/>
      <c r="L119" s="328"/>
      <c r="M119" s="328"/>
      <c r="N119" s="328"/>
      <c r="O119" s="328"/>
      <c r="P119" s="710"/>
      <c r="Q119" s="710"/>
      <c r="R119" s="710"/>
      <c r="S119" s="710"/>
      <c r="T119" s="710"/>
      <c r="U119" s="328"/>
      <c r="V119" s="328"/>
      <c r="W119" s="328"/>
      <c r="X119" s="328"/>
      <c r="Y119" s="328"/>
      <c r="Z119" s="328"/>
      <c r="AA119" s="328"/>
      <c r="AB119" s="328"/>
      <c r="AC119" s="328"/>
      <c r="AD119" s="328"/>
      <c r="AE119" s="328"/>
      <c r="AF119" s="328"/>
      <c r="AG119" s="328"/>
      <c r="AH119" s="328"/>
      <c r="AI119" s="328"/>
      <c r="AJ119" s="328"/>
      <c r="AK119" s="328"/>
      <c r="AL119" s="328"/>
      <c r="AM119" s="328"/>
    </row>
    <row r="120" spans="1:39" x14ac:dyDescent="0.25">
      <c r="A120" s="1722"/>
      <c r="B120" s="1722"/>
      <c r="C120" s="1722"/>
      <c r="D120" s="1722"/>
      <c r="E120" s="1722"/>
      <c r="F120" s="752"/>
      <c r="G120" s="728"/>
      <c r="H120" s="728"/>
      <c r="I120" s="728"/>
      <c r="J120" s="728"/>
      <c r="K120" s="328"/>
      <c r="L120" s="328"/>
      <c r="M120" s="328"/>
      <c r="N120" s="328"/>
      <c r="O120" s="328"/>
      <c r="P120" s="752"/>
      <c r="Q120" s="728"/>
      <c r="R120" s="728"/>
      <c r="S120" s="728"/>
      <c r="T120" s="728"/>
      <c r="U120" s="328"/>
      <c r="V120" s="328"/>
      <c r="W120" s="328"/>
      <c r="X120" s="328"/>
      <c r="Y120" s="328"/>
      <c r="Z120" s="778"/>
      <c r="AA120" s="328"/>
      <c r="AB120" s="778"/>
      <c r="AC120" s="778"/>
      <c r="AD120" s="328"/>
      <c r="AE120" s="328"/>
      <c r="AF120" s="328"/>
      <c r="AG120" s="328"/>
      <c r="AH120" s="328"/>
      <c r="AI120" s="328"/>
      <c r="AJ120" s="328"/>
      <c r="AK120" s="328"/>
      <c r="AL120" s="328"/>
      <c r="AM120" s="328"/>
    </row>
    <row r="121" spans="1:39" x14ac:dyDescent="0.25">
      <c r="A121" s="146"/>
      <c r="B121" s="1090"/>
      <c r="C121" s="1090"/>
      <c r="D121" s="1090"/>
      <c r="E121" s="1090"/>
      <c r="F121" s="1090"/>
      <c r="G121" s="1090"/>
      <c r="H121" s="1090"/>
      <c r="I121" s="1090"/>
      <c r="J121" s="146"/>
      <c r="K121" s="1091"/>
      <c r="L121" s="1091"/>
      <c r="M121" s="1091"/>
      <c r="N121" s="1091"/>
      <c r="O121" s="328"/>
      <c r="P121" s="335"/>
      <c r="Q121" s="335"/>
      <c r="R121" s="335"/>
      <c r="S121" s="335"/>
      <c r="T121" s="146"/>
      <c r="U121" s="1091"/>
      <c r="V121" s="1091"/>
      <c r="W121" s="1091"/>
      <c r="X121" s="1091"/>
      <c r="Y121" s="328"/>
      <c r="Z121" s="144"/>
      <c r="AA121" s="144"/>
      <c r="AB121" s="144"/>
      <c r="AC121" s="1091"/>
      <c r="AD121" s="328"/>
      <c r="AE121" s="328"/>
      <c r="AF121" s="328"/>
      <c r="AG121" s="328"/>
      <c r="AH121" s="146"/>
      <c r="AI121" s="146"/>
      <c r="AJ121" s="146"/>
      <c r="AK121" s="146"/>
      <c r="AL121" s="146"/>
      <c r="AM121" s="146"/>
    </row>
    <row r="122" spans="1:39" x14ac:dyDescent="0.25">
      <c r="A122" s="146"/>
      <c r="B122" s="335"/>
      <c r="C122" s="335"/>
      <c r="D122" s="335"/>
      <c r="E122" s="335"/>
      <c r="F122" s="335"/>
      <c r="G122" s="335"/>
      <c r="H122" s="146"/>
      <c r="I122" s="335"/>
      <c r="J122" s="146"/>
      <c r="K122" s="778"/>
      <c r="L122" s="328"/>
      <c r="M122" s="778"/>
      <c r="N122" s="328"/>
      <c r="O122" s="328"/>
      <c r="P122" s="335"/>
      <c r="Q122" s="335"/>
      <c r="R122" s="146"/>
      <c r="S122" s="335"/>
      <c r="T122" s="146"/>
      <c r="U122" s="778"/>
      <c r="V122" s="328"/>
      <c r="W122" s="778"/>
      <c r="X122" s="328"/>
      <c r="Y122" s="328"/>
      <c r="Z122" s="778"/>
      <c r="AA122" s="328"/>
      <c r="AB122" s="778"/>
      <c r="AC122" s="328"/>
      <c r="AD122" s="328"/>
      <c r="AE122" s="328"/>
      <c r="AF122" s="328"/>
      <c r="AG122" s="328"/>
      <c r="AH122" s="146"/>
      <c r="AI122" s="146"/>
      <c r="AJ122" s="146"/>
      <c r="AK122" s="146"/>
      <c r="AL122" s="146"/>
      <c r="AM122" s="146"/>
    </row>
    <row r="123" spans="1:39" x14ac:dyDescent="0.25">
      <c r="A123" s="146"/>
      <c r="B123" s="146"/>
      <c r="C123" s="146"/>
      <c r="D123" s="146"/>
      <c r="E123" s="146"/>
      <c r="F123" s="146"/>
      <c r="G123" s="146"/>
      <c r="H123" s="146"/>
      <c r="I123" s="146"/>
      <c r="J123" s="146"/>
      <c r="K123" s="778"/>
      <c r="L123" s="778"/>
      <c r="M123" s="778"/>
      <c r="N123" s="778"/>
      <c r="O123" s="328"/>
      <c r="P123" s="146"/>
      <c r="Q123" s="146"/>
      <c r="R123" s="146"/>
      <c r="S123" s="146"/>
      <c r="T123" s="146"/>
      <c r="U123" s="778"/>
      <c r="V123" s="778"/>
      <c r="W123" s="778"/>
      <c r="X123" s="778"/>
      <c r="Y123" s="328"/>
      <c r="Z123" s="778"/>
      <c r="AA123" s="778"/>
      <c r="AB123" s="778"/>
      <c r="AC123" s="778"/>
      <c r="AD123" s="328"/>
      <c r="AE123" s="328"/>
      <c r="AF123" s="328"/>
      <c r="AG123" s="328"/>
      <c r="AH123" s="146"/>
      <c r="AI123" s="146"/>
      <c r="AJ123" s="146"/>
      <c r="AK123" s="146"/>
      <c r="AL123" s="146"/>
      <c r="AM123" s="146"/>
    </row>
    <row r="124" spans="1:39" x14ac:dyDescent="0.25">
      <c r="A124" s="146"/>
      <c r="B124" s="146"/>
      <c r="C124" s="146"/>
      <c r="D124" s="146"/>
      <c r="E124" s="146"/>
      <c r="F124" s="335"/>
      <c r="G124" s="146"/>
      <c r="H124" s="146"/>
      <c r="I124" s="146"/>
      <c r="J124" s="146"/>
      <c r="K124" s="328"/>
      <c r="L124" s="328"/>
      <c r="M124" s="328"/>
      <c r="N124" s="328"/>
      <c r="O124" s="328"/>
      <c r="P124" s="335"/>
      <c r="Q124" s="146"/>
      <c r="R124" s="146"/>
      <c r="S124" s="146"/>
      <c r="T124" s="146"/>
      <c r="U124" s="328"/>
      <c r="V124" s="328"/>
      <c r="W124" s="328"/>
      <c r="X124" s="328"/>
      <c r="Y124" s="328"/>
      <c r="Z124" s="328"/>
      <c r="AA124" s="328"/>
      <c r="AB124" s="328"/>
      <c r="AC124" s="328"/>
      <c r="AD124" s="328"/>
      <c r="AE124" s="328"/>
      <c r="AF124" s="328"/>
      <c r="AG124" s="328"/>
      <c r="AH124" s="146"/>
      <c r="AI124" s="146"/>
      <c r="AJ124" s="146"/>
      <c r="AK124" s="146"/>
      <c r="AL124" s="146"/>
      <c r="AM124" s="146"/>
    </row>
    <row r="125" spans="1:39" x14ac:dyDescent="0.25">
      <c r="A125" s="146"/>
      <c r="B125" s="146"/>
      <c r="C125" s="146"/>
      <c r="D125" s="146"/>
      <c r="E125" s="146"/>
      <c r="F125" s="146"/>
      <c r="G125" s="146"/>
      <c r="H125" s="146"/>
      <c r="I125" s="146"/>
      <c r="J125" s="146"/>
      <c r="K125" s="328"/>
      <c r="L125" s="328"/>
      <c r="M125" s="328"/>
      <c r="N125" s="328"/>
      <c r="O125" s="328"/>
      <c r="P125" s="146"/>
      <c r="Q125" s="146"/>
      <c r="R125" s="146"/>
      <c r="S125" s="146"/>
      <c r="T125" s="146"/>
      <c r="U125" s="328"/>
      <c r="V125" s="328"/>
      <c r="W125" s="328"/>
      <c r="X125" s="328"/>
      <c r="Y125" s="328"/>
      <c r="Z125" s="328"/>
      <c r="AA125" s="328"/>
      <c r="AB125" s="328"/>
      <c r="AC125" s="328"/>
      <c r="AD125" s="328"/>
      <c r="AE125" s="328"/>
      <c r="AF125" s="328"/>
      <c r="AG125" s="328"/>
      <c r="AH125" s="146"/>
      <c r="AI125" s="146"/>
      <c r="AJ125" s="146"/>
      <c r="AK125" s="146"/>
      <c r="AL125" s="146"/>
      <c r="AM125" s="146"/>
    </row>
    <row r="126" spans="1:39" x14ac:dyDescent="0.25">
      <c r="A126" s="146"/>
      <c r="B126" s="146"/>
      <c r="C126" s="146"/>
      <c r="D126" s="146"/>
      <c r="E126" s="146"/>
      <c r="F126" s="146"/>
      <c r="G126" s="146"/>
      <c r="H126" s="146"/>
      <c r="I126" s="146"/>
      <c r="J126" s="146"/>
      <c r="K126" s="328"/>
      <c r="L126" s="328"/>
      <c r="M126" s="328"/>
      <c r="N126" s="328"/>
      <c r="O126" s="328"/>
      <c r="P126" s="146"/>
      <c r="Q126" s="146"/>
      <c r="R126" s="146"/>
      <c r="S126" s="146"/>
      <c r="T126" s="146"/>
      <c r="U126" s="328"/>
      <c r="V126" s="328"/>
      <c r="W126" s="328"/>
      <c r="X126" s="328"/>
      <c r="Y126" s="328"/>
      <c r="Z126" s="328"/>
      <c r="AA126" s="328"/>
      <c r="AB126" s="328"/>
      <c r="AC126" s="328"/>
      <c r="AD126" s="328"/>
      <c r="AE126" s="328"/>
      <c r="AF126" s="328"/>
      <c r="AG126" s="328"/>
      <c r="AH126" s="146"/>
      <c r="AI126" s="146"/>
      <c r="AJ126" s="146"/>
      <c r="AK126" s="146"/>
      <c r="AL126" s="146"/>
      <c r="AM126" s="146"/>
    </row>
    <row r="127" spans="1:39" x14ac:dyDescent="0.25">
      <c r="A127" s="146"/>
      <c r="B127" s="146"/>
      <c r="C127" s="146"/>
      <c r="D127" s="146"/>
      <c r="E127" s="335"/>
      <c r="F127" s="146"/>
      <c r="G127" s="146"/>
      <c r="H127" s="146"/>
      <c r="I127" s="335"/>
      <c r="J127" s="146"/>
      <c r="K127" s="146"/>
      <c r="L127" s="146"/>
      <c r="M127" s="146"/>
      <c r="N127" s="328"/>
      <c r="O127" s="328"/>
      <c r="P127" s="146"/>
      <c r="Q127" s="146"/>
      <c r="R127" s="146"/>
      <c r="S127" s="335"/>
      <c r="T127" s="146"/>
      <c r="U127" s="146"/>
      <c r="V127" s="146"/>
      <c r="W127" s="146"/>
      <c r="X127" s="328"/>
      <c r="Y127" s="328"/>
      <c r="Z127" s="146"/>
      <c r="AA127" s="146"/>
      <c r="AB127" s="146"/>
      <c r="AC127" s="328"/>
      <c r="AD127" s="328"/>
      <c r="AE127" s="328"/>
      <c r="AF127" s="328"/>
      <c r="AG127" s="328"/>
      <c r="AH127" s="146"/>
      <c r="AI127" s="146"/>
      <c r="AJ127" s="146"/>
      <c r="AK127" s="146"/>
      <c r="AL127" s="146"/>
      <c r="AM127" s="146"/>
    </row>
    <row r="128" spans="1:39" x14ac:dyDescent="0.25">
      <c r="A128" s="146"/>
      <c r="B128" s="146"/>
      <c r="C128" s="146"/>
      <c r="D128" s="146"/>
      <c r="E128" s="335"/>
      <c r="F128" s="146"/>
      <c r="G128" s="146"/>
      <c r="H128" s="146"/>
      <c r="I128" s="335"/>
      <c r="J128" s="146"/>
      <c r="K128" s="146"/>
      <c r="L128" s="146"/>
      <c r="M128" s="146"/>
      <c r="N128" s="328"/>
      <c r="O128" s="328"/>
      <c r="P128" s="146"/>
      <c r="Q128" s="146"/>
      <c r="R128" s="146"/>
      <c r="S128" s="335"/>
      <c r="T128" s="146"/>
      <c r="U128" s="146"/>
      <c r="V128" s="146"/>
      <c r="W128" s="146"/>
      <c r="X128" s="328"/>
      <c r="Y128" s="328"/>
      <c r="Z128" s="146"/>
      <c r="AA128" s="146"/>
      <c r="AB128" s="146"/>
      <c r="AC128" s="328"/>
      <c r="AD128" s="328"/>
      <c r="AE128" s="328"/>
      <c r="AF128" s="328"/>
      <c r="AG128" s="328"/>
      <c r="AH128" s="146"/>
      <c r="AI128" s="146"/>
      <c r="AJ128" s="146"/>
      <c r="AK128" s="146"/>
      <c r="AL128" s="146"/>
      <c r="AM128" s="146"/>
    </row>
    <row r="129" spans="1:39" x14ac:dyDescent="0.25">
      <c r="A129" s="146"/>
      <c r="B129" s="146"/>
      <c r="C129" s="146"/>
      <c r="D129" s="146"/>
      <c r="E129" s="146"/>
      <c r="F129" s="146"/>
      <c r="G129" s="146"/>
      <c r="H129" s="146"/>
      <c r="I129" s="146"/>
      <c r="J129" s="146"/>
      <c r="K129" s="146"/>
      <c r="L129" s="146"/>
      <c r="M129" s="146"/>
      <c r="N129" s="328"/>
      <c r="O129" s="328"/>
      <c r="P129" s="146"/>
      <c r="Q129" s="146"/>
      <c r="R129" s="146"/>
      <c r="S129" s="146"/>
      <c r="T129" s="146"/>
      <c r="U129" s="146"/>
      <c r="V129" s="146"/>
      <c r="W129" s="146"/>
      <c r="X129" s="328"/>
      <c r="Y129" s="328"/>
      <c r="Z129" s="146"/>
      <c r="AA129" s="146"/>
      <c r="AB129" s="146"/>
      <c r="AC129" s="328"/>
      <c r="AD129" s="328"/>
      <c r="AE129" s="328"/>
      <c r="AF129" s="328"/>
      <c r="AG129" s="328"/>
      <c r="AH129" s="146"/>
      <c r="AI129" s="146"/>
      <c r="AJ129" s="146"/>
      <c r="AK129" s="146"/>
      <c r="AL129" s="146"/>
      <c r="AM129" s="146"/>
    </row>
    <row r="130" spans="1:39" x14ac:dyDescent="0.25">
      <c r="A130" s="146"/>
      <c r="B130" s="146"/>
      <c r="C130" s="146"/>
      <c r="D130" s="146"/>
      <c r="E130" s="146"/>
      <c r="F130" s="146"/>
      <c r="G130" s="146"/>
      <c r="H130" s="146"/>
      <c r="I130" s="146"/>
      <c r="J130" s="146"/>
      <c r="K130" s="146"/>
      <c r="L130" s="146"/>
      <c r="M130" s="146"/>
      <c r="N130" s="328"/>
      <c r="O130" s="328"/>
      <c r="P130" s="146"/>
      <c r="Q130" s="146"/>
      <c r="R130" s="146"/>
      <c r="S130" s="146"/>
      <c r="T130" s="146"/>
      <c r="U130" s="146"/>
      <c r="V130" s="146"/>
      <c r="W130" s="146"/>
      <c r="X130" s="328"/>
      <c r="Y130" s="328"/>
      <c r="Z130" s="146"/>
      <c r="AA130" s="146"/>
      <c r="AB130" s="146"/>
      <c r="AC130" s="328"/>
      <c r="AD130" s="328"/>
      <c r="AE130" s="328"/>
      <c r="AF130" s="328"/>
      <c r="AG130" s="328"/>
      <c r="AH130" s="146"/>
      <c r="AI130" s="146"/>
      <c r="AJ130" s="146"/>
      <c r="AK130" s="146"/>
      <c r="AL130" s="146"/>
      <c r="AM130" s="146"/>
    </row>
    <row r="131" spans="1:39" x14ac:dyDescent="0.25">
      <c r="A131" s="146"/>
      <c r="B131" s="146"/>
      <c r="C131" s="146"/>
      <c r="D131" s="146"/>
      <c r="E131" s="146"/>
      <c r="F131" s="146"/>
      <c r="G131" s="146"/>
      <c r="H131" s="146"/>
      <c r="I131" s="146"/>
      <c r="J131" s="146"/>
      <c r="K131" s="146"/>
      <c r="L131" s="146"/>
      <c r="M131" s="146"/>
      <c r="N131" s="328"/>
      <c r="O131" s="328"/>
      <c r="P131" s="146"/>
      <c r="Q131" s="146"/>
      <c r="R131" s="146"/>
      <c r="S131" s="146"/>
      <c r="T131" s="146"/>
      <c r="U131" s="146"/>
      <c r="V131" s="146"/>
      <c r="W131" s="146"/>
      <c r="X131" s="328"/>
      <c r="Y131" s="328"/>
      <c r="Z131" s="146"/>
      <c r="AA131" s="146"/>
      <c r="AB131" s="146"/>
      <c r="AC131" s="328"/>
      <c r="AD131" s="328"/>
      <c r="AE131" s="328"/>
      <c r="AF131" s="328"/>
      <c r="AG131" s="328"/>
      <c r="AH131" s="146"/>
      <c r="AI131" s="146"/>
      <c r="AJ131" s="146"/>
      <c r="AK131" s="146"/>
      <c r="AL131" s="146"/>
      <c r="AM131" s="146"/>
    </row>
    <row r="132" spans="1:39" x14ac:dyDescent="0.25">
      <c r="A132" s="146"/>
      <c r="B132" s="146"/>
      <c r="C132" s="146"/>
      <c r="D132" s="146"/>
      <c r="E132" s="146"/>
      <c r="F132" s="146"/>
      <c r="G132" s="146"/>
      <c r="H132" s="146"/>
      <c r="I132" s="146"/>
      <c r="J132" s="146"/>
      <c r="K132" s="146"/>
      <c r="L132" s="146"/>
      <c r="M132" s="146"/>
      <c r="N132" s="328"/>
      <c r="O132" s="328"/>
      <c r="P132" s="146"/>
      <c r="Q132" s="146"/>
      <c r="R132" s="146"/>
      <c r="S132" s="146"/>
      <c r="T132" s="146"/>
      <c r="U132" s="146"/>
      <c r="V132" s="146"/>
      <c r="W132" s="146"/>
      <c r="X132" s="328"/>
      <c r="Y132" s="328"/>
      <c r="Z132" s="146"/>
      <c r="AA132" s="146"/>
      <c r="AB132" s="146"/>
      <c r="AC132" s="328"/>
      <c r="AD132" s="328"/>
      <c r="AE132" s="328"/>
      <c r="AF132" s="328"/>
      <c r="AG132" s="328"/>
      <c r="AH132" s="146"/>
      <c r="AI132" s="146"/>
      <c r="AJ132" s="146"/>
      <c r="AK132" s="146"/>
      <c r="AL132" s="146"/>
      <c r="AM132" s="146"/>
    </row>
    <row r="133" spans="1:39" x14ac:dyDescent="0.25">
      <c r="A133" s="146"/>
      <c r="B133" s="146"/>
      <c r="C133" s="146"/>
      <c r="D133" s="146"/>
      <c r="E133" s="146"/>
      <c r="F133" s="146"/>
      <c r="G133" s="146"/>
      <c r="H133" s="146"/>
      <c r="I133" s="146"/>
      <c r="J133" s="146"/>
      <c r="K133" s="146"/>
      <c r="L133" s="146"/>
      <c r="M133" s="146"/>
      <c r="N133" s="328"/>
      <c r="O133" s="328"/>
      <c r="P133" s="146"/>
      <c r="Q133" s="146"/>
      <c r="R133" s="146"/>
      <c r="S133" s="146"/>
      <c r="T133" s="146"/>
      <c r="U133" s="146"/>
      <c r="V133" s="146"/>
      <c r="W133" s="146"/>
      <c r="X133" s="328"/>
      <c r="Y133" s="328"/>
      <c r="Z133" s="146"/>
      <c r="AA133" s="146"/>
      <c r="AB133" s="146"/>
      <c r="AC133" s="328"/>
      <c r="AD133" s="328"/>
      <c r="AE133" s="328"/>
      <c r="AF133" s="328"/>
      <c r="AG133" s="328"/>
      <c r="AH133" s="146"/>
      <c r="AI133" s="146"/>
      <c r="AJ133" s="146"/>
      <c r="AK133" s="146"/>
      <c r="AL133" s="146"/>
      <c r="AM133" s="146"/>
    </row>
    <row r="134" spans="1:39" x14ac:dyDescent="0.25">
      <c r="A134" s="146"/>
      <c r="B134" s="146"/>
      <c r="C134" s="146"/>
      <c r="D134" s="146"/>
      <c r="E134" s="146"/>
      <c r="F134" s="146"/>
      <c r="G134" s="146"/>
      <c r="H134" s="146"/>
      <c r="I134" s="146"/>
      <c r="J134" s="146"/>
      <c r="K134" s="146"/>
      <c r="L134" s="146"/>
      <c r="M134" s="146"/>
      <c r="N134" s="328"/>
      <c r="O134" s="328"/>
      <c r="P134" s="146"/>
      <c r="Q134" s="146"/>
      <c r="R134" s="146"/>
      <c r="S134" s="146"/>
      <c r="T134" s="146"/>
      <c r="U134" s="146"/>
      <c r="V134" s="146"/>
      <c r="W134" s="146"/>
      <c r="X134" s="328"/>
      <c r="Y134" s="328"/>
      <c r="Z134" s="146"/>
      <c r="AA134" s="146"/>
      <c r="AB134" s="146"/>
      <c r="AC134" s="328"/>
      <c r="AD134" s="328"/>
      <c r="AE134" s="328"/>
      <c r="AF134" s="328"/>
      <c r="AG134" s="328"/>
      <c r="AH134" s="146"/>
      <c r="AI134" s="146"/>
      <c r="AJ134" s="146"/>
      <c r="AK134" s="146"/>
      <c r="AL134" s="146"/>
      <c r="AM134" s="146"/>
    </row>
    <row r="135" spans="1:39" x14ac:dyDescent="0.25">
      <c r="A135" s="146"/>
      <c r="B135" s="146"/>
      <c r="C135" s="146"/>
      <c r="D135" s="146"/>
      <c r="E135" s="146"/>
      <c r="F135" s="146"/>
      <c r="G135" s="146"/>
      <c r="H135" s="146"/>
      <c r="I135" s="146"/>
      <c r="J135" s="146"/>
      <c r="K135" s="146"/>
      <c r="L135" s="146"/>
      <c r="M135" s="146"/>
      <c r="N135" s="328"/>
      <c r="O135" s="328"/>
      <c r="P135" s="146"/>
      <c r="Q135" s="146"/>
      <c r="R135" s="146"/>
      <c r="S135" s="146"/>
      <c r="T135" s="146"/>
      <c r="U135" s="146"/>
      <c r="V135" s="146"/>
      <c r="W135" s="146"/>
      <c r="X135" s="328"/>
      <c r="Y135" s="328"/>
      <c r="Z135" s="146"/>
      <c r="AA135" s="146"/>
      <c r="AB135" s="146"/>
      <c r="AC135" s="328"/>
      <c r="AD135" s="328"/>
      <c r="AE135" s="328"/>
      <c r="AF135" s="328"/>
      <c r="AG135" s="328"/>
      <c r="AH135" s="146"/>
      <c r="AI135" s="146"/>
      <c r="AJ135" s="146"/>
      <c r="AK135" s="146"/>
      <c r="AL135" s="146"/>
      <c r="AM135" s="146"/>
    </row>
    <row r="136" spans="1:39" x14ac:dyDescent="0.25">
      <c r="A136" s="146"/>
      <c r="B136" s="146"/>
      <c r="C136" s="146"/>
      <c r="D136" s="146"/>
      <c r="E136" s="146"/>
      <c r="F136" s="146"/>
      <c r="G136" s="146"/>
      <c r="H136" s="146"/>
      <c r="I136" s="146"/>
      <c r="J136" s="146"/>
      <c r="K136" s="146"/>
      <c r="L136" s="146"/>
      <c r="M136" s="146"/>
      <c r="N136" s="328"/>
      <c r="O136" s="328"/>
      <c r="P136" s="146"/>
      <c r="Q136" s="146"/>
      <c r="R136" s="146"/>
      <c r="S136" s="146"/>
      <c r="T136" s="146"/>
      <c r="U136" s="146"/>
      <c r="V136" s="146"/>
      <c r="W136" s="146"/>
      <c r="X136" s="328"/>
      <c r="Y136" s="328"/>
      <c r="Z136" s="146"/>
      <c r="AA136" s="146"/>
      <c r="AB136" s="146"/>
      <c r="AC136" s="328"/>
      <c r="AD136" s="328"/>
      <c r="AE136" s="328"/>
      <c r="AF136" s="328"/>
      <c r="AG136" s="328"/>
      <c r="AH136" s="146"/>
      <c r="AI136" s="146"/>
      <c r="AJ136" s="146"/>
      <c r="AK136" s="146"/>
      <c r="AL136" s="146"/>
      <c r="AM136" s="146"/>
    </row>
  </sheetData>
  <mergeCells count="35">
    <mergeCell ref="Z5:AD5"/>
    <mergeCell ref="Z28:AD28"/>
    <mergeCell ref="Z48:AD48"/>
    <mergeCell ref="Z85:AD85"/>
    <mergeCell ref="A1:AD1"/>
    <mergeCell ref="A3:AD3"/>
    <mergeCell ref="A26:AD26"/>
    <mergeCell ref="A46:AD46"/>
    <mergeCell ref="A83:AD83"/>
    <mergeCell ref="F85:J85"/>
    <mergeCell ref="K85:O85"/>
    <mergeCell ref="K5:O5"/>
    <mergeCell ref="F28:J28"/>
    <mergeCell ref="K28:O28"/>
    <mergeCell ref="F5:J5"/>
    <mergeCell ref="P85:T85"/>
    <mergeCell ref="A120:E120"/>
    <mergeCell ref="A4:A5"/>
    <mergeCell ref="A27:A28"/>
    <mergeCell ref="A84:A85"/>
    <mergeCell ref="A47:A48"/>
    <mergeCell ref="A119:E119"/>
    <mergeCell ref="B5:E5"/>
    <mergeCell ref="B85:E85"/>
    <mergeCell ref="B28:E28"/>
    <mergeCell ref="B48:E48"/>
    <mergeCell ref="F48:J48"/>
    <mergeCell ref="K48:O48"/>
    <mergeCell ref="U85:Y85"/>
    <mergeCell ref="P5:T5"/>
    <mergeCell ref="U5:Y5"/>
    <mergeCell ref="P28:T28"/>
    <mergeCell ref="U28:Y28"/>
    <mergeCell ref="P48:T48"/>
    <mergeCell ref="U48:Y48"/>
  </mergeCells>
  <phoneticPr fontId="15" type="noConversion"/>
  <printOptions horizontalCentered="1" verticalCentered="1"/>
  <pageMargins left="0.25" right="0.49" top="0.2" bottom="0.38" header="0.17" footer="0.25"/>
  <pageSetup paperSize="5" scale="50" orientation="landscape" r:id="rId1"/>
  <headerFooter alignWithMargins="0">
    <oddFooter>&amp;RSource: Office of Institutional Research</oddFooter>
  </headerFooter>
  <rowBreaks count="2" manualBreakCount="2">
    <brk id="45" max="29" man="1"/>
    <brk id="119" max="17" man="1"/>
  </rowBreaks>
  <webPublishItems count="1">
    <webPublishItem id="10732" divId="2004_2005 FACT BOOK WORKING COPY_10732" sourceType="sheet" destinationFile="C:\Documents and Settings\mkirkpatrick\My Documents\2005-2006 Fact Book\2005-2006 WEB PAGES\05_06springcredithourproductionbycollege.htm"/>
  </webPublishItem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5"/>
  <dimension ref="A1:AM137"/>
  <sheetViews>
    <sheetView zoomScale="60" zoomScaleNormal="60" workbookViewId="0">
      <selection sqref="A1:AD1"/>
    </sheetView>
  </sheetViews>
  <sheetFormatPr defaultColWidth="6.6640625" defaultRowHeight="13.2" x14ac:dyDescent="0.25"/>
  <cols>
    <col min="1" max="1" width="55.6640625" style="143" customWidth="1"/>
    <col min="2" max="5" width="10.33203125" style="143" hidden="1" customWidth="1"/>
    <col min="6" max="25" width="10.33203125" style="143" customWidth="1"/>
    <col min="26" max="30" width="10.33203125" style="372" customWidth="1"/>
    <col min="31" max="39" width="11.5546875" style="143" customWidth="1"/>
    <col min="40" max="16384" width="6.6640625" style="143"/>
  </cols>
  <sheetData>
    <row r="1" spans="1:39" ht="24.75" customHeight="1" x14ac:dyDescent="0.35">
      <c r="A1" s="1721" t="s">
        <v>396</v>
      </c>
      <c r="B1" s="1721"/>
      <c r="C1" s="1721"/>
      <c r="D1" s="1721"/>
      <c r="E1" s="1721"/>
      <c r="F1" s="1721"/>
      <c r="G1" s="1721"/>
      <c r="H1" s="1721"/>
      <c r="I1" s="1721"/>
      <c r="J1" s="1721"/>
      <c r="K1" s="1721"/>
      <c r="L1" s="1721"/>
      <c r="M1" s="1721"/>
      <c r="N1" s="1721"/>
      <c r="O1" s="1721"/>
      <c r="P1" s="1721"/>
      <c r="Q1" s="1721"/>
      <c r="R1" s="1721"/>
      <c r="S1" s="1721"/>
      <c r="T1" s="1721"/>
      <c r="U1" s="1721"/>
      <c r="V1" s="1721"/>
      <c r="W1" s="1721"/>
      <c r="X1" s="1721"/>
      <c r="Y1" s="1721"/>
      <c r="Z1" s="1721"/>
      <c r="AA1" s="1721"/>
      <c r="AB1" s="1721"/>
      <c r="AC1" s="1721"/>
      <c r="AD1" s="1721"/>
    </row>
    <row r="2" spans="1:39" ht="12.75" customHeight="1" thickBot="1" x14ac:dyDescent="0.3">
      <c r="A2" s="145"/>
      <c r="B2" s="147"/>
      <c r="C2" s="147"/>
      <c r="D2" s="147"/>
      <c r="E2" s="147"/>
      <c r="F2" s="147"/>
      <c r="G2" s="147"/>
      <c r="H2" s="147"/>
      <c r="I2" s="147"/>
      <c r="J2" s="147"/>
      <c r="K2" s="147"/>
      <c r="L2" s="147"/>
      <c r="M2" s="147"/>
      <c r="N2" s="328"/>
      <c r="O2" s="328"/>
      <c r="P2" s="147"/>
      <c r="Q2" s="147"/>
      <c r="R2" s="147"/>
      <c r="S2" s="328"/>
      <c r="T2" s="328"/>
      <c r="U2" s="147"/>
      <c r="V2" s="147"/>
      <c r="W2" s="147"/>
      <c r="X2" s="328"/>
      <c r="Y2" s="328"/>
      <c r="Z2" s="1416"/>
      <c r="AA2" s="1416"/>
      <c r="AB2" s="1416"/>
      <c r="AC2" s="871"/>
      <c r="AD2" s="871"/>
      <c r="AE2" s="328"/>
      <c r="AF2" s="328"/>
      <c r="AG2" s="328"/>
      <c r="AH2" s="328"/>
      <c r="AI2" s="328"/>
      <c r="AJ2" s="328"/>
      <c r="AK2" s="328"/>
      <c r="AL2" s="328"/>
      <c r="AM2" s="328"/>
    </row>
    <row r="3" spans="1:39" customFormat="1" ht="18.600000000000001" thickTop="1" thickBot="1" x14ac:dyDescent="0.35">
      <c r="A3" s="1736" t="s">
        <v>419</v>
      </c>
      <c r="B3" s="1737"/>
      <c r="C3" s="1737"/>
      <c r="D3" s="1737"/>
      <c r="E3" s="1737"/>
      <c r="F3" s="1737"/>
      <c r="G3" s="1737"/>
      <c r="H3" s="1737"/>
      <c r="I3" s="1737"/>
      <c r="J3" s="1737"/>
      <c r="K3" s="1737"/>
      <c r="L3" s="1737"/>
      <c r="M3" s="1737"/>
      <c r="N3" s="1737"/>
      <c r="O3" s="1737"/>
      <c r="P3" s="1737"/>
      <c r="Q3" s="1737"/>
      <c r="R3" s="1737"/>
      <c r="S3" s="1737"/>
      <c r="T3" s="1737"/>
      <c r="U3" s="1737"/>
      <c r="V3" s="1737"/>
      <c r="W3" s="1737"/>
      <c r="X3" s="1737"/>
      <c r="Y3" s="1737"/>
      <c r="Z3" s="1737"/>
      <c r="AA3" s="1737"/>
      <c r="AB3" s="1737"/>
      <c r="AC3" s="1737"/>
      <c r="AD3" s="1738"/>
    </row>
    <row r="4" spans="1:39" ht="40.200000000000003" customHeight="1" thickTop="1" x14ac:dyDescent="0.25">
      <c r="A4" s="1723" t="s">
        <v>952</v>
      </c>
      <c r="B4" s="148" t="s">
        <v>954</v>
      </c>
      <c r="C4" s="148" t="s">
        <v>955</v>
      </c>
      <c r="D4" s="148" t="s">
        <v>956</v>
      </c>
      <c r="E4" s="820" t="s">
        <v>1015</v>
      </c>
      <c r="F4" s="148" t="s">
        <v>954</v>
      </c>
      <c r="G4" s="148" t="s">
        <v>955</v>
      </c>
      <c r="H4" s="148" t="s">
        <v>956</v>
      </c>
      <c r="I4" s="823" t="s">
        <v>1015</v>
      </c>
      <c r="J4" s="149" t="s">
        <v>1017</v>
      </c>
      <c r="K4" s="1253" t="s">
        <v>954</v>
      </c>
      <c r="L4" s="148" t="s">
        <v>955</v>
      </c>
      <c r="M4" s="148" t="s">
        <v>956</v>
      </c>
      <c r="N4" s="823" t="s">
        <v>1015</v>
      </c>
      <c r="O4" s="149" t="s">
        <v>1017</v>
      </c>
      <c r="P4" s="1253" t="s">
        <v>954</v>
      </c>
      <c r="Q4" s="148" t="s">
        <v>955</v>
      </c>
      <c r="R4" s="148" t="s">
        <v>956</v>
      </c>
      <c r="S4" s="823" t="s">
        <v>1015</v>
      </c>
      <c r="T4" s="149" t="s">
        <v>1017</v>
      </c>
      <c r="U4" s="148" t="s">
        <v>954</v>
      </c>
      <c r="V4" s="148" t="s">
        <v>955</v>
      </c>
      <c r="W4" s="148" t="s">
        <v>956</v>
      </c>
      <c r="X4" s="823" t="s">
        <v>1015</v>
      </c>
      <c r="Y4" s="149" t="s">
        <v>1017</v>
      </c>
      <c r="Z4" s="1400" t="s">
        <v>954</v>
      </c>
      <c r="AA4" s="1400" t="s">
        <v>955</v>
      </c>
      <c r="AB4" s="1400" t="s">
        <v>956</v>
      </c>
      <c r="AC4" s="1401" t="s">
        <v>1015</v>
      </c>
      <c r="AD4" s="1402" t="s">
        <v>1017</v>
      </c>
      <c r="AE4" s="328"/>
      <c r="AF4" s="328"/>
      <c r="AG4" s="328"/>
      <c r="AH4" s="329"/>
      <c r="AI4" s="328"/>
      <c r="AJ4" s="328"/>
      <c r="AK4" s="328"/>
      <c r="AL4" s="328"/>
    </row>
    <row r="5" spans="1:39" ht="12.75" customHeight="1" x14ac:dyDescent="0.25">
      <c r="A5" s="1724"/>
      <c r="B5" s="1726" t="s">
        <v>1443</v>
      </c>
      <c r="C5" s="1727"/>
      <c r="D5" s="1727"/>
      <c r="E5" s="1728"/>
      <c r="F5" s="1727" t="s">
        <v>1442</v>
      </c>
      <c r="G5" s="1727"/>
      <c r="H5" s="1727"/>
      <c r="I5" s="1727"/>
      <c r="J5" s="1728"/>
      <c r="K5" s="1727" t="s">
        <v>1393</v>
      </c>
      <c r="L5" s="1727"/>
      <c r="M5" s="1727"/>
      <c r="N5" s="1727"/>
      <c r="O5" s="1728"/>
      <c r="P5" s="1727" t="s">
        <v>1394</v>
      </c>
      <c r="Q5" s="1727"/>
      <c r="R5" s="1727"/>
      <c r="S5" s="1727"/>
      <c r="T5" s="1728"/>
      <c r="U5" s="1727" t="s">
        <v>1395</v>
      </c>
      <c r="V5" s="1727"/>
      <c r="W5" s="1727"/>
      <c r="X5" s="1727"/>
      <c r="Y5" s="1728"/>
      <c r="Z5" s="1739" t="s">
        <v>1552</v>
      </c>
      <c r="AA5" s="1739"/>
      <c r="AB5" s="1739"/>
      <c r="AC5" s="1739"/>
      <c r="AD5" s="1740"/>
      <c r="AE5" s="328"/>
      <c r="AF5" s="328"/>
      <c r="AG5" s="328"/>
      <c r="AH5" s="328"/>
      <c r="AI5" s="328"/>
      <c r="AJ5" s="328"/>
      <c r="AK5" s="328"/>
      <c r="AL5" s="328"/>
    </row>
    <row r="6" spans="1:39" x14ac:dyDescent="0.25">
      <c r="A6" s="564" t="s">
        <v>423</v>
      </c>
      <c r="B6" s="151"/>
      <c r="C6" s="152"/>
      <c r="D6" s="152"/>
      <c r="E6" s="153"/>
      <c r="F6" s="151"/>
      <c r="G6" s="152"/>
      <c r="H6" s="152"/>
      <c r="I6" s="152"/>
      <c r="J6" s="153"/>
      <c r="K6" s="1254"/>
      <c r="L6" s="152"/>
      <c r="M6" s="152"/>
      <c r="N6" s="152"/>
      <c r="O6" s="153"/>
      <c r="P6" s="1254"/>
      <c r="Q6" s="152"/>
      <c r="R6" s="152"/>
      <c r="S6" s="152"/>
      <c r="T6" s="153"/>
      <c r="U6" s="151"/>
      <c r="V6" s="152"/>
      <c r="W6" s="152"/>
      <c r="X6" s="152"/>
      <c r="Y6" s="153"/>
      <c r="Z6" s="151"/>
      <c r="AA6" s="152"/>
      <c r="AB6" s="152"/>
      <c r="AC6" s="152"/>
      <c r="AD6" s="153"/>
      <c r="AE6" s="328"/>
      <c r="AF6" s="328"/>
      <c r="AG6" s="328"/>
      <c r="AH6" s="328"/>
      <c r="AI6" s="328"/>
      <c r="AJ6" s="328"/>
      <c r="AK6" s="328"/>
      <c r="AL6" s="328"/>
    </row>
    <row r="7" spans="1:39" x14ac:dyDescent="0.25">
      <c r="A7" s="566" t="s">
        <v>962</v>
      </c>
      <c r="B7" s="154">
        <f>+'NEW Spring CHP by DISC'!B7/15</f>
        <v>23.4</v>
      </c>
      <c r="C7" s="154">
        <f>+'NEW Spring CHP by DISC'!C7/15</f>
        <v>13.466666666666667</v>
      </c>
      <c r="D7" s="154">
        <f>+'NEW Spring CHP by DISC'!D7/12</f>
        <v>0</v>
      </c>
      <c r="E7" s="745">
        <f t="shared" ref="E7:E15" si="0">SUM(B7:D7)</f>
        <v>36.866666666666667</v>
      </c>
      <c r="F7" s="154">
        <f>+'NEW Spring CHP by DISC'!F7/15</f>
        <v>25</v>
      </c>
      <c r="G7" s="154">
        <f>+'NEW Spring CHP by DISC'!G7/15</f>
        <v>14.6</v>
      </c>
      <c r="H7" s="154">
        <f>+'NEW Spring CHP by DISC'!H7/12</f>
        <v>0</v>
      </c>
      <c r="I7" s="154">
        <f t="shared" ref="I7:I15" si="1">SUM(F7:H7)</f>
        <v>39.6</v>
      </c>
      <c r="J7" s="155">
        <f t="shared" ref="J7:J16" si="2">IF(E7&gt;0,(I7-E7)/E7,(IF(I7=0,"N/A",100%)))</f>
        <v>7.4141048824593159E-2</v>
      </c>
      <c r="K7" s="959">
        <f>+'NEW Spring CHP by DISC'!K7/15</f>
        <v>22</v>
      </c>
      <c r="L7" s="154">
        <f>+'NEW Spring CHP by DISC'!L7/15</f>
        <v>17.2</v>
      </c>
      <c r="M7" s="154">
        <f>+'NEW Spring CHP by DISC'!M7/12</f>
        <v>0</v>
      </c>
      <c r="N7" s="154">
        <f t="shared" ref="N7:N15" si="3">SUM(K7:M7)</f>
        <v>39.200000000000003</v>
      </c>
      <c r="O7" s="155">
        <f t="shared" ref="O7:O16" si="4">IF(I7&gt;0,(N7-I7)/I7,(IF(N7=0,"N/A",100%)))</f>
        <v>-1.0101010101010065E-2</v>
      </c>
      <c r="P7" s="959">
        <f>+'NEW Spring CHP by DISC'!P7/15</f>
        <v>25.4</v>
      </c>
      <c r="Q7" s="154">
        <f>+'NEW Spring CHP by DISC'!Q7/15</f>
        <v>15.066666666666666</v>
      </c>
      <c r="R7" s="154">
        <f>+'NEW Spring CHP by DISC'!R7/12</f>
        <v>0</v>
      </c>
      <c r="S7" s="154">
        <f t="shared" ref="S7:S15" si="5">SUM(P7:R7)</f>
        <v>40.466666666666669</v>
      </c>
      <c r="T7" s="155">
        <f t="shared" ref="T7:T16" si="6">IF(N7&gt;0,(S7-N7)/N7,(IF(S7=0,"N/A",100%)))</f>
        <v>3.2312925170068001E-2</v>
      </c>
      <c r="U7" s="154">
        <f>+'NEW Spring CHP by DISC'!U7/15</f>
        <v>27.4</v>
      </c>
      <c r="V7" s="154">
        <f>+'NEW Spring CHP by DISC'!V7/15</f>
        <v>17.2</v>
      </c>
      <c r="W7" s="154">
        <f>+'NEW Spring CHP by DISC'!W7/12</f>
        <v>0</v>
      </c>
      <c r="X7" s="154">
        <f t="shared" ref="X7:X15" si="7">SUM(U7:W7)</f>
        <v>44.599999999999994</v>
      </c>
      <c r="Y7" s="155">
        <f t="shared" ref="Y7:Y16" si="8">IF(S7&gt;0,(X7-S7)/S7,(IF(X7=0,"N/A",100%)))</f>
        <v>0.10214168039538696</v>
      </c>
      <c r="Z7" s="512">
        <f>+'NEW Spring CHP by DISC'!Z7/15</f>
        <v>30</v>
      </c>
      <c r="AA7" s="512">
        <f>+'NEW Spring CHP by DISC'!AA7/15</f>
        <v>20.466666666666665</v>
      </c>
      <c r="AB7" s="512">
        <f>+'NEW Spring CHP by DISC'!AB7/12</f>
        <v>0</v>
      </c>
      <c r="AC7" s="512">
        <f t="shared" ref="AC7:AC15" si="9">SUM(Z7:AB7)</f>
        <v>50.466666666666669</v>
      </c>
      <c r="AD7" s="1403">
        <f t="shared" ref="AD7:AD16" si="10">IF(X7&gt;0,(AC7-X7)/X7,(IF(AC7=0,"N/A",100%)))</f>
        <v>0.13153961136023934</v>
      </c>
      <c r="AE7" s="328"/>
      <c r="AF7" s="328"/>
      <c r="AG7" s="328"/>
      <c r="AH7" s="328"/>
      <c r="AI7" s="328"/>
      <c r="AJ7" s="328"/>
      <c r="AK7" s="328"/>
      <c r="AL7" s="328"/>
    </row>
    <row r="8" spans="1:39" s="156" customFormat="1" x14ac:dyDescent="0.25">
      <c r="A8" s="568" t="s">
        <v>963</v>
      </c>
      <c r="B8" s="154">
        <f>+'NEW Spring CHP by DISC'!B8/15</f>
        <v>52.733333333333334</v>
      </c>
      <c r="C8" s="154">
        <f>+'NEW Spring CHP by DISC'!C8/15</f>
        <v>47.133333333333333</v>
      </c>
      <c r="D8" s="154">
        <f>+'NEW Spring CHP by DISC'!D8/12</f>
        <v>0</v>
      </c>
      <c r="E8" s="745">
        <f t="shared" si="0"/>
        <v>99.866666666666674</v>
      </c>
      <c r="F8" s="154">
        <f>+'NEW Spring CHP by DISC'!F8/15</f>
        <v>56</v>
      </c>
      <c r="G8" s="154">
        <f>+'NEW Spring CHP by DISC'!G8/15</f>
        <v>51.666666666666664</v>
      </c>
      <c r="H8" s="154">
        <f>+'NEW Spring CHP by DISC'!H8/12</f>
        <v>0</v>
      </c>
      <c r="I8" s="154">
        <f t="shared" si="1"/>
        <v>107.66666666666666</v>
      </c>
      <c r="J8" s="155">
        <f t="shared" si="2"/>
        <v>7.8104138851802229E-2</v>
      </c>
      <c r="K8" s="959">
        <f>+'NEW Spring CHP by DISC'!K8/15</f>
        <v>60</v>
      </c>
      <c r="L8" s="154">
        <f>+'NEW Spring CHP by DISC'!L8/15</f>
        <v>55.666666666666664</v>
      </c>
      <c r="M8" s="154">
        <f>+'NEW Spring CHP by DISC'!M8/12</f>
        <v>0</v>
      </c>
      <c r="N8" s="154">
        <f t="shared" si="3"/>
        <v>115.66666666666666</v>
      </c>
      <c r="O8" s="155">
        <f t="shared" si="4"/>
        <v>7.4303405572755429E-2</v>
      </c>
      <c r="P8" s="959">
        <f>+'NEW Spring CHP by DISC'!P8/15</f>
        <v>57.6</v>
      </c>
      <c r="Q8" s="154">
        <f>+'NEW Spring CHP by DISC'!Q8/15</f>
        <v>57.6</v>
      </c>
      <c r="R8" s="154">
        <f>+'NEW Spring CHP by DISC'!R8/12</f>
        <v>0</v>
      </c>
      <c r="S8" s="154">
        <f t="shared" si="5"/>
        <v>115.2</v>
      </c>
      <c r="T8" s="155">
        <f t="shared" si="6"/>
        <v>-4.0345821325647353E-3</v>
      </c>
      <c r="U8" s="154">
        <f>+'NEW Spring CHP by DISC'!U8/15</f>
        <v>62.6</v>
      </c>
      <c r="V8" s="154">
        <f>+'NEW Spring CHP by DISC'!V8/15</f>
        <v>67</v>
      </c>
      <c r="W8" s="154">
        <f>+'NEW Spring CHP by DISC'!W8/12</f>
        <v>0</v>
      </c>
      <c r="X8" s="154">
        <f t="shared" si="7"/>
        <v>129.6</v>
      </c>
      <c r="Y8" s="155">
        <f t="shared" si="8"/>
        <v>0.12499999999999992</v>
      </c>
      <c r="Z8" s="512">
        <f>+'NEW Spring CHP by DISC'!Z8/15</f>
        <v>54.6</v>
      </c>
      <c r="AA8" s="512">
        <f>+'NEW Spring CHP by DISC'!AA8/15</f>
        <v>58.4</v>
      </c>
      <c r="AB8" s="512">
        <f>+'NEW Spring CHP by DISC'!AB8/12</f>
        <v>0</v>
      </c>
      <c r="AC8" s="512">
        <f t="shared" si="9"/>
        <v>113</v>
      </c>
      <c r="AD8" s="1403">
        <f t="shared" si="10"/>
        <v>-0.12808641975308638</v>
      </c>
      <c r="AE8" s="569"/>
      <c r="AF8" s="569"/>
      <c r="AG8" s="569"/>
      <c r="AH8" s="569"/>
      <c r="AI8" s="569"/>
      <c r="AJ8" s="569"/>
      <c r="AK8" s="569"/>
      <c r="AL8" s="569"/>
    </row>
    <row r="9" spans="1:39" x14ac:dyDescent="0.25">
      <c r="A9" s="566" t="s">
        <v>964</v>
      </c>
      <c r="B9" s="154">
        <f>+'NEW Spring CHP by DISC'!B9/15</f>
        <v>1.4</v>
      </c>
      <c r="C9" s="154">
        <f>+'NEW Spring CHP by DISC'!C9/15</f>
        <v>0</v>
      </c>
      <c r="D9" s="154">
        <f>+'NEW Spring CHP by DISC'!D9/12</f>
        <v>0</v>
      </c>
      <c r="E9" s="745">
        <f t="shared" si="0"/>
        <v>1.4</v>
      </c>
      <c r="F9" s="154">
        <f>+'NEW Spring CHP by DISC'!F9/15</f>
        <v>2.2000000000000002</v>
      </c>
      <c r="G9" s="154">
        <f>+'NEW Spring CHP by DISC'!G9/15</f>
        <v>0</v>
      </c>
      <c r="H9" s="154">
        <f>+'NEW Spring CHP by DISC'!H9/12</f>
        <v>0</v>
      </c>
      <c r="I9" s="154">
        <f t="shared" si="1"/>
        <v>2.2000000000000002</v>
      </c>
      <c r="J9" s="155">
        <f t="shared" si="2"/>
        <v>0.57142857142857162</v>
      </c>
      <c r="K9" s="959">
        <f>+'NEW Spring CHP by DISC'!K9/15</f>
        <v>0</v>
      </c>
      <c r="L9" s="154">
        <f>+'NEW Spring CHP by DISC'!L9/15</f>
        <v>0</v>
      </c>
      <c r="M9" s="154">
        <f>+'NEW Spring CHP by DISC'!M9/12</f>
        <v>0</v>
      </c>
      <c r="N9" s="154">
        <f t="shared" si="3"/>
        <v>0</v>
      </c>
      <c r="O9" s="155">
        <f t="shared" si="4"/>
        <v>-1</v>
      </c>
      <c r="P9" s="959">
        <f>+'NEW Spring CHP by DISC'!P9/15</f>
        <v>6.6666666666666666E-2</v>
      </c>
      <c r="Q9" s="154">
        <f>+'NEW Spring CHP by DISC'!Q9/15</f>
        <v>0</v>
      </c>
      <c r="R9" s="154">
        <f>+'NEW Spring CHP by DISC'!R9/12</f>
        <v>0</v>
      </c>
      <c r="S9" s="154">
        <f t="shared" si="5"/>
        <v>6.6666666666666666E-2</v>
      </c>
      <c r="T9" s="155">
        <f t="shared" si="6"/>
        <v>1</v>
      </c>
      <c r="U9" s="154">
        <f>+'NEW Spring CHP by DISC'!U9/15</f>
        <v>0.93333333333333335</v>
      </c>
      <c r="V9" s="154">
        <f>+'NEW Spring CHP by DISC'!V9/15</f>
        <v>0</v>
      </c>
      <c r="W9" s="154">
        <f>+'NEW Spring CHP by DISC'!W9/12</f>
        <v>0</v>
      </c>
      <c r="X9" s="154">
        <f t="shared" si="7"/>
        <v>0.93333333333333335</v>
      </c>
      <c r="Y9" s="155">
        <f t="shared" si="8"/>
        <v>13</v>
      </c>
      <c r="Z9" s="512">
        <f>+'NEW Spring CHP by DISC'!Z9/15</f>
        <v>1.1333333333333333</v>
      </c>
      <c r="AA9" s="512">
        <f>+'NEW Spring CHP by DISC'!AA9/15</f>
        <v>0</v>
      </c>
      <c r="AB9" s="512">
        <f>+'NEW Spring CHP by DISC'!AB9/12</f>
        <v>0</v>
      </c>
      <c r="AC9" s="512">
        <f t="shared" si="9"/>
        <v>1.1333333333333333</v>
      </c>
      <c r="AD9" s="1403">
        <f t="shared" si="10"/>
        <v>0.21428571428571425</v>
      </c>
      <c r="AE9" s="328"/>
      <c r="AF9" s="328"/>
      <c r="AG9" s="328"/>
      <c r="AH9" s="328"/>
      <c r="AI9" s="328"/>
      <c r="AJ9" s="328"/>
      <c r="AK9" s="328"/>
      <c r="AL9" s="328"/>
    </row>
    <row r="10" spans="1:39" x14ac:dyDescent="0.25">
      <c r="A10" s="566" t="s">
        <v>965</v>
      </c>
      <c r="B10" s="154">
        <f>+'NEW Spring CHP by DISC'!B10/15</f>
        <v>55.2</v>
      </c>
      <c r="C10" s="154">
        <f>+'NEW Spring CHP by DISC'!C10/15</f>
        <v>4</v>
      </c>
      <c r="D10" s="154">
        <f>+'NEW Spring CHP by DISC'!D10/12</f>
        <v>0</v>
      </c>
      <c r="E10" s="745">
        <f t="shared" si="0"/>
        <v>59.2</v>
      </c>
      <c r="F10" s="154">
        <f>+'NEW Spring CHP by DISC'!F10/15</f>
        <v>50.4</v>
      </c>
      <c r="G10" s="154">
        <f>+'NEW Spring CHP by DISC'!G10/15</f>
        <v>5.2</v>
      </c>
      <c r="H10" s="154">
        <f>+'NEW Spring CHP by DISC'!H10/12</f>
        <v>0</v>
      </c>
      <c r="I10" s="154">
        <f t="shared" si="1"/>
        <v>55.6</v>
      </c>
      <c r="J10" s="155">
        <f t="shared" si="2"/>
        <v>-6.0810810810810835E-2</v>
      </c>
      <c r="K10" s="959">
        <f>+'NEW Spring CHP by DISC'!K10/15</f>
        <v>65.8</v>
      </c>
      <c r="L10" s="154">
        <f>+'NEW Spring CHP by DISC'!L10/15</f>
        <v>1.4</v>
      </c>
      <c r="M10" s="154">
        <f>+'NEW Spring CHP by DISC'!M10/12</f>
        <v>0</v>
      </c>
      <c r="N10" s="154">
        <f t="shared" si="3"/>
        <v>67.2</v>
      </c>
      <c r="O10" s="155">
        <f t="shared" si="4"/>
        <v>0.20863309352517986</v>
      </c>
      <c r="P10" s="959">
        <f>+'NEW Spring CHP by DISC'!P10/15</f>
        <v>67.599999999999994</v>
      </c>
      <c r="Q10" s="154">
        <f>+'NEW Spring CHP by DISC'!Q10/15</f>
        <v>3.2</v>
      </c>
      <c r="R10" s="154">
        <f>+'NEW Spring CHP by DISC'!R10/12</f>
        <v>0</v>
      </c>
      <c r="S10" s="154">
        <f t="shared" si="5"/>
        <v>70.8</v>
      </c>
      <c r="T10" s="155">
        <f t="shared" si="6"/>
        <v>5.3571428571428485E-2</v>
      </c>
      <c r="U10" s="154">
        <f>+'NEW Spring CHP by DISC'!U10/15</f>
        <v>63.4</v>
      </c>
      <c r="V10" s="154">
        <f>+'NEW Spring CHP by DISC'!V10/15</f>
        <v>3.2</v>
      </c>
      <c r="W10" s="154">
        <f>+'NEW Spring CHP by DISC'!W10/12</f>
        <v>0</v>
      </c>
      <c r="X10" s="154">
        <f t="shared" si="7"/>
        <v>66.599999999999994</v>
      </c>
      <c r="Y10" s="155">
        <f t="shared" si="8"/>
        <v>-5.9322033898305128E-2</v>
      </c>
      <c r="Z10" s="512">
        <f>+'NEW Spring CHP by DISC'!Z10/15</f>
        <v>43.4</v>
      </c>
      <c r="AA10" s="512">
        <f>+'NEW Spring CHP by DISC'!AA10/15</f>
        <v>5.6</v>
      </c>
      <c r="AB10" s="512">
        <f>+'NEW Spring CHP by DISC'!AB10/12</f>
        <v>0</v>
      </c>
      <c r="AC10" s="512">
        <f t="shared" si="9"/>
        <v>49</v>
      </c>
      <c r="AD10" s="1403">
        <f t="shared" si="10"/>
        <v>-0.26426426426426419</v>
      </c>
      <c r="AE10" s="328"/>
      <c r="AF10" s="328"/>
      <c r="AG10" s="328"/>
      <c r="AH10" s="328"/>
      <c r="AI10" s="328"/>
      <c r="AJ10" s="328"/>
      <c r="AK10" s="328"/>
      <c r="AL10" s="328"/>
    </row>
    <row r="11" spans="1:39" x14ac:dyDescent="0.25">
      <c r="A11" s="566" t="s">
        <v>966</v>
      </c>
      <c r="B11" s="154">
        <f>+'NEW Spring CHP by DISC'!B11/15</f>
        <v>0</v>
      </c>
      <c r="C11" s="154">
        <f>+'NEW Spring CHP by DISC'!C11/15</f>
        <v>9</v>
      </c>
      <c r="D11" s="154">
        <f>+'NEW Spring CHP by DISC'!D11/12</f>
        <v>0</v>
      </c>
      <c r="E11" s="745">
        <f t="shared" si="0"/>
        <v>9</v>
      </c>
      <c r="F11" s="154">
        <f>+'NEW Spring CHP by DISC'!F11/15</f>
        <v>7</v>
      </c>
      <c r="G11" s="154">
        <f>+'NEW Spring CHP by DISC'!G11/15</f>
        <v>13.2</v>
      </c>
      <c r="H11" s="154">
        <f>+'NEW Spring CHP by DISC'!H11/12</f>
        <v>0</v>
      </c>
      <c r="I11" s="154">
        <f t="shared" si="1"/>
        <v>20.2</v>
      </c>
      <c r="J11" s="155">
        <f t="shared" si="2"/>
        <v>1.2444444444444445</v>
      </c>
      <c r="K11" s="959">
        <f>+'NEW Spring CHP by DISC'!K11/15</f>
        <v>6.8</v>
      </c>
      <c r="L11" s="154">
        <f>+'NEW Spring CHP by DISC'!L11/15</f>
        <v>11</v>
      </c>
      <c r="M11" s="154">
        <f>+'NEW Spring CHP by DISC'!M11/12</f>
        <v>0</v>
      </c>
      <c r="N11" s="154">
        <f t="shared" si="3"/>
        <v>17.8</v>
      </c>
      <c r="O11" s="155">
        <f t="shared" si="4"/>
        <v>-0.11881188118811875</v>
      </c>
      <c r="P11" s="959">
        <f>+'NEW Spring CHP by DISC'!P11/15</f>
        <v>6</v>
      </c>
      <c r="Q11" s="154">
        <f>+'NEW Spring CHP by DISC'!Q11/15</f>
        <v>11.4</v>
      </c>
      <c r="R11" s="154">
        <f>+'NEW Spring CHP by DISC'!R11/12</f>
        <v>0</v>
      </c>
      <c r="S11" s="154">
        <f t="shared" si="5"/>
        <v>17.399999999999999</v>
      </c>
      <c r="T11" s="155">
        <f t="shared" si="6"/>
        <v>-2.2471910112359668E-2</v>
      </c>
      <c r="U11" s="154">
        <f>+'NEW Spring CHP by DISC'!U11/15</f>
        <v>6.6</v>
      </c>
      <c r="V11" s="154">
        <f>+'NEW Spring CHP by DISC'!V11/15</f>
        <v>13.6</v>
      </c>
      <c r="W11" s="154">
        <f>+'NEW Spring CHP by DISC'!W11/12</f>
        <v>0</v>
      </c>
      <c r="X11" s="154">
        <f t="shared" si="7"/>
        <v>20.2</v>
      </c>
      <c r="Y11" s="155">
        <f t="shared" si="8"/>
        <v>0.16091954022988511</v>
      </c>
      <c r="Z11" s="512">
        <f>+'NEW Spring CHP by DISC'!Z11/15</f>
        <v>11.6</v>
      </c>
      <c r="AA11" s="512">
        <f>+'NEW Spring CHP by DISC'!AA11/15</f>
        <v>13.6</v>
      </c>
      <c r="AB11" s="512">
        <f>+'NEW Spring CHP by DISC'!AB11/12</f>
        <v>0</v>
      </c>
      <c r="AC11" s="512">
        <f t="shared" si="9"/>
        <v>25.2</v>
      </c>
      <c r="AD11" s="1403">
        <f t="shared" si="10"/>
        <v>0.24752475247524752</v>
      </c>
      <c r="AE11" s="328"/>
      <c r="AF11" s="328"/>
      <c r="AG11" s="328"/>
      <c r="AH11" s="328"/>
      <c r="AI11" s="328"/>
      <c r="AJ11" s="328"/>
      <c r="AK11" s="328"/>
      <c r="AL11" s="328"/>
    </row>
    <row r="12" spans="1:39" x14ac:dyDescent="0.25">
      <c r="A12" s="566" t="s">
        <v>967</v>
      </c>
      <c r="B12" s="154">
        <f>+'NEW Spring CHP by DISC'!B12/15</f>
        <v>10.866666666666667</v>
      </c>
      <c r="C12" s="154">
        <f>+'NEW Spring CHP by DISC'!C12/15</f>
        <v>11</v>
      </c>
      <c r="D12" s="154">
        <f>+'NEW Spring CHP by DISC'!D12/12</f>
        <v>0</v>
      </c>
      <c r="E12" s="745">
        <f t="shared" si="0"/>
        <v>21.866666666666667</v>
      </c>
      <c r="F12" s="154">
        <f>+'NEW Spring CHP by DISC'!F12/15</f>
        <v>14.6</v>
      </c>
      <c r="G12" s="154">
        <f>+'NEW Spring CHP by DISC'!G12/15</f>
        <v>8.8000000000000007</v>
      </c>
      <c r="H12" s="154">
        <f>+'NEW Spring CHP by DISC'!H12/12</f>
        <v>0</v>
      </c>
      <c r="I12" s="154">
        <f t="shared" si="1"/>
        <v>23.4</v>
      </c>
      <c r="J12" s="155">
        <f t="shared" si="2"/>
        <v>7.0121951219512105E-2</v>
      </c>
      <c r="K12" s="959">
        <f>+'NEW Spring CHP by DISC'!K12/15</f>
        <v>16.2</v>
      </c>
      <c r="L12" s="154">
        <f>+'NEW Spring CHP by DISC'!L12/15</f>
        <v>12</v>
      </c>
      <c r="M12" s="154">
        <f>+'NEW Spring CHP by DISC'!M12/12</f>
        <v>0</v>
      </c>
      <c r="N12" s="154">
        <f t="shared" si="3"/>
        <v>28.2</v>
      </c>
      <c r="O12" s="155">
        <f t="shared" si="4"/>
        <v>0.20512820512820518</v>
      </c>
      <c r="P12" s="959">
        <f>+'NEW Spring CHP by DISC'!P12/15</f>
        <v>18.666666666666668</v>
      </c>
      <c r="Q12" s="154">
        <f>+'NEW Spring CHP by DISC'!Q12/15</f>
        <v>14.2</v>
      </c>
      <c r="R12" s="154">
        <f>+'NEW Spring CHP by DISC'!R12/12</f>
        <v>0</v>
      </c>
      <c r="S12" s="154">
        <f t="shared" si="5"/>
        <v>32.866666666666667</v>
      </c>
      <c r="T12" s="155">
        <f t="shared" si="6"/>
        <v>0.16548463356974</v>
      </c>
      <c r="U12" s="154">
        <f>+'NEW Spring CHP by DISC'!U12/15</f>
        <v>25.2</v>
      </c>
      <c r="V12" s="154">
        <f>+'NEW Spring CHP by DISC'!V12/15</f>
        <v>19.399999999999999</v>
      </c>
      <c r="W12" s="154">
        <f>+'NEW Spring CHP by DISC'!W12/12</f>
        <v>0</v>
      </c>
      <c r="X12" s="154">
        <f t="shared" si="7"/>
        <v>44.599999999999994</v>
      </c>
      <c r="Y12" s="155">
        <f t="shared" si="8"/>
        <v>0.35699797160243391</v>
      </c>
      <c r="Z12" s="512">
        <f>+'NEW Spring CHP by DISC'!Z12/15</f>
        <v>24.733333333333334</v>
      </c>
      <c r="AA12" s="512">
        <f>+'NEW Spring CHP by DISC'!AA12/15</f>
        <v>19.2</v>
      </c>
      <c r="AB12" s="512">
        <f>+'NEW Spring CHP by DISC'!AB12/12</f>
        <v>0</v>
      </c>
      <c r="AC12" s="512">
        <f t="shared" si="9"/>
        <v>43.933333333333337</v>
      </c>
      <c r="AD12" s="1403">
        <f t="shared" si="10"/>
        <v>-1.4947683109117876E-2</v>
      </c>
      <c r="AE12" s="328"/>
      <c r="AF12" s="328"/>
      <c r="AG12" s="328"/>
      <c r="AH12" s="328"/>
      <c r="AI12" s="328"/>
      <c r="AJ12" s="328"/>
      <c r="AK12" s="328"/>
      <c r="AL12" s="328"/>
    </row>
    <row r="13" spans="1:39" x14ac:dyDescent="0.25">
      <c r="A13" s="566" t="s">
        <v>1553</v>
      </c>
      <c r="B13" s="154">
        <f>+'NEW Spring CHP by DISC'!B13/15</f>
        <v>0</v>
      </c>
      <c r="C13" s="154">
        <f>+'NEW Spring CHP by DISC'!C13/15</f>
        <v>0</v>
      </c>
      <c r="D13" s="154">
        <f>+'NEW Spring CHP by DISC'!D13/12</f>
        <v>0</v>
      </c>
      <c r="E13" s="745">
        <f t="shared" si="0"/>
        <v>0</v>
      </c>
      <c r="F13" s="154">
        <f>+'NEW Spring CHP by DISC'!F13/15</f>
        <v>0</v>
      </c>
      <c r="G13" s="154">
        <f>+'NEW Spring CHP by DISC'!G13/15</f>
        <v>0</v>
      </c>
      <c r="H13" s="154">
        <f>+'NEW Spring CHP by DISC'!H13/12</f>
        <v>0</v>
      </c>
      <c r="I13" s="154">
        <f t="shared" ref="I13" si="11">SUM(F13:H13)</f>
        <v>0</v>
      </c>
      <c r="J13" s="155" t="str">
        <f t="shared" ref="J13" si="12">IF(E13&gt;0,(I13-E13)/E13,(IF(I13=0,"N/A",100%)))</f>
        <v>N/A</v>
      </c>
      <c r="K13" s="959">
        <f>+'NEW Spring CHP by DISC'!K13/15</f>
        <v>0</v>
      </c>
      <c r="L13" s="154">
        <f>+'NEW Spring CHP by DISC'!L13/15</f>
        <v>0</v>
      </c>
      <c r="M13" s="154">
        <f>+'NEW Spring CHP by DISC'!M13/12</f>
        <v>0</v>
      </c>
      <c r="N13" s="154">
        <f t="shared" ref="N13" si="13">SUM(K13:M13)</f>
        <v>0</v>
      </c>
      <c r="O13" s="155" t="str">
        <f t="shared" ref="O13" si="14">IF(I13&gt;0,(N13-I13)/I13,(IF(N13=0,"N/A",100%)))</f>
        <v>N/A</v>
      </c>
      <c r="P13" s="959">
        <f>+'NEW Spring CHP by DISC'!P13/15</f>
        <v>0</v>
      </c>
      <c r="Q13" s="154">
        <f>+'NEW Spring CHP by DISC'!Q13/15</f>
        <v>0</v>
      </c>
      <c r="R13" s="154">
        <f>+'NEW Spring CHP by DISC'!R13/12</f>
        <v>0</v>
      </c>
      <c r="S13" s="154">
        <f t="shared" ref="S13" si="15">SUM(P13:R13)</f>
        <v>0</v>
      </c>
      <c r="T13" s="155" t="str">
        <f t="shared" ref="T13" si="16">IF(N13&gt;0,(S13-N13)/N13,(IF(S13=0,"N/A",100%)))</f>
        <v>N/A</v>
      </c>
      <c r="U13" s="154">
        <f>+'NEW Spring CHP by DISC'!U13/15</f>
        <v>0</v>
      </c>
      <c r="V13" s="154">
        <f>+'NEW Spring CHP by DISC'!V13/15</f>
        <v>0</v>
      </c>
      <c r="W13" s="154">
        <f>+'NEW Spring CHP by DISC'!W13/12</f>
        <v>0</v>
      </c>
      <c r="X13" s="154">
        <f t="shared" ref="X13" si="17">SUM(U13:W13)</f>
        <v>0</v>
      </c>
      <c r="Y13" s="155" t="str">
        <f t="shared" ref="Y13" si="18">IF(S13&gt;0,(X13-S13)/S13,(IF(X13=0,"N/A",100%)))</f>
        <v>N/A</v>
      </c>
      <c r="Z13" s="512">
        <f>+'NEW Spring CHP by DISC'!Z13/15</f>
        <v>0.26666666666666666</v>
      </c>
      <c r="AA13" s="512">
        <f>+'NEW Spring CHP by DISC'!AA13/15</f>
        <v>0</v>
      </c>
      <c r="AB13" s="512">
        <f>+'NEW Spring CHP by DISC'!AB13/12</f>
        <v>0</v>
      </c>
      <c r="AC13" s="512">
        <f t="shared" ref="AC13" si="19">SUM(Z13:AB13)</f>
        <v>0.26666666666666666</v>
      </c>
      <c r="AD13" s="1403">
        <f t="shared" ref="AD13" si="20">IF(X13&gt;0,(AC13-X13)/X13,(IF(AC13=0,"N/A",100%)))</f>
        <v>1</v>
      </c>
      <c r="AE13" s="328"/>
      <c r="AF13" s="328"/>
      <c r="AG13" s="328"/>
      <c r="AH13" s="328"/>
      <c r="AI13" s="328"/>
      <c r="AJ13" s="328"/>
      <c r="AK13" s="328"/>
      <c r="AL13" s="328"/>
    </row>
    <row r="14" spans="1:39" x14ac:dyDescent="0.25">
      <c r="A14" s="566" t="s">
        <v>968</v>
      </c>
      <c r="B14" s="154">
        <f>+'NEW Spring CHP by DISC'!B14/15</f>
        <v>0</v>
      </c>
      <c r="C14" s="154">
        <f>+'NEW Spring CHP by DISC'!C14/15</f>
        <v>27.8</v>
      </c>
      <c r="D14" s="154">
        <f>+'NEW Spring CHP by DISC'!D14/12</f>
        <v>0</v>
      </c>
      <c r="E14" s="745">
        <f t="shared" si="0"/>
        <v>27.8</v>
      </c>
      <c r="F14" s="154">
        <f>+'NEW Spring CHP by DISC'!F14/15</f>
        <v>0</v>
      </c>
      <c r="G14" s="154">
        <f>+'NEW Spring CHP by DISC'!G14/15</f>
        <v>33.200000000000003</v>
      </c>
      <c r="H14" s="154">
        <f>+'NEW Spring CHP by DISC'!H14/12</f>
        <v>0</v>
      </c>
      <c r="I14" s="154">
        <f t="shared" si="1"/>
        <v>33.200000000000003</v>
      </c>
      <c r="J14" s="155">
        <f t="shared" si="2"/>
        <v>0.19424460431654683</v>
      </c>
      <c r="K14" s="959">
        <f>+'NEW Spring CHP by DISC'!K14/15</f>
        <v>0</v>
      </c>
      <c r="L14" s="154">
        <f>+'NEW Spring CHP by DISC'!L14/15</f>
        <v>38.200000000000003</v>
      </c>
      <c r="M14" s="154">
        <f>+'NEW Spring CHP by DISC'!M14/12</f>
        <v>0</v>
      </c>
      <c r="N14" s="154">
        <f t="shared" si="3"/>
        <v>38.200000000000003</v>
      </c>
      <c r="O14" s="155">
        <f t="shared" si="4"/>
        <v>0.1506024096385542</v>
      </c>
      <c r="P14" s="959">
        <f>+'NEW Spring CHP by DISC'!P14/15</f>
        <v>0</v>
      </c>
      <c r="Q14" s="154">
        <f>+'NEW Spring CHP by DISC'!Q14/15</f>
        <v>35.6</v>
      </c>
      <c r="R14" s="154">
        <f>+'NEW Spring CHP by DISC'!R14/12</f>
        <v>0</v>
      </c>
      <c r="S14" s="154">
        <f t="shared" si="5"/>
        <v>35.6</v>
      </c>
      <c r="T14" s="155">
        <f t="shared" si="6"/>
        <v>-6.806282722513092E-2</v>
      </c>
      <c r="U14" s="154">
        <f>+'NEW Spring CHP by DISC'!U14/15</f>
        <v>0</v>
      </c>
      <c r="V14" s="154">
        <f>+'NEW Spring CHP by DISC'!V14/15</f>
        <v>34.200000000000003</v>
      </c>
      <c r="W14" s="154">
        <f>+'NEW Spring CHP by DISC'!W14/12</f>
        <v>0</v>
      </c>
      <c r="X14" s="154">
        <f t="shared" si="7"/>
        <v>34.200000000000003</v>
      </c>
      <c r="Y14" s="155">
        <f t="shared" si="8"/>
        <v>-3.9325842696629171E-2</v>
      </c>
      <c r="Z14" s="512">
        <f>+'NEW Spring CHP by DISC'!Z14/15</f>
        <v>0</v>
      </c>
      <c r="AA14" s="512">
        <f>+'NEW Spring CHP by DISC'!AA14/15</f>
        <v>31.6</v>
      </c>
      <c r="AB14" s="512">
        <f>+'NEW Spring CHP by DISC'!AB14/12</f>
        <v>0</v>
      </c>
      <c r="AC14" s="512">
        <f t="shared" si="9"/>
        <v>31.6</v>
      </c>
      <c r="AD14" s="1403">
        <f t="shared" si="10"/>
        <v>-7.6023391812865534E-2</v>
      </c>
      <c r="AE14" s="328"/>
      <c r="AF14" s="328"/>
      <c r="AG14" s="328"/>
      <c r="AH14" s="328"/>
      <c r="AI14" s="328"/>
      <c r="AJ14" s="328"/>
      <c r="AK14" s="328"/>
      <c r="AL14" s="328"/>
    </row>
    <row r="15" spans="1:39" x14ac:dyDescent="0.25">
      <c r="A15" s="566" t="s">
        <v>969</v>
      </c>
      <c r="B15" s="154">
        <f>+'NEW Spring CHP by DISC'!B15/15</f>
        <v>0</v>
      </c>
      <c r="C15" s="154">
        <f>+'NEW Spring CHP by DISC'!C15/15</f>
        <v>10.8</v>
      </c>
      <c r="D15" s="154">
        <f>+'NEW Spring CHP by DISC'!D15/12</f>
        <v>0</v>
      </c>
      <c r="E15" s="745">
        <f t="shared" si="0"/>
        <v>10.8</v>
      </c>
      <c r="F15" s="154">
        <f>+'NEW Spring CHP by DISC'!F15/15</f>
        <v>0</v>
      </c>
      <c r="G15" s="154">
        <f>+'NEW Spring CHP by DISC'!G15/15</f>
        <v>16.600000000000001</v>
      </c>
      <c r="H15" s="154">
        <f>+'NEW Spring CHP by DISC'!H15/12</f>
        <v>0</v>
      </c>
      <c r="I15" s="154">
        <f t="shared" si="1"/>
        <v>16.600000000000001</v>
      </c>
      <c r="J15" s="155">
        <f t="shared" si="2"/>
        <v>0.53703703703703709</v>
      </c>
      <c r="K15" s="959">
        <f>+'NEW Spring CHP by DISC'!K15/15</f>
        <v>0</v>
      </c>
      <c r="L15" s="154">
        <f>+'NEW Spring CHP by DISC'!L15/15</f>
        <v>18.600000000000001</v>
      </c>
      <c r="M15" s="154">
        <f>+'NEW Spring CHP by DISC'!M15/12</f>
        <v>0</v>
      </c>
      <c r="N15" s="154">
        <f t="shared" si="3"/>
        <v>18.600000000000001</v>
      </c>
      <c r="O15" s="155">
        <f t="shared" si="4"/>
        <v>0.12048192771084336</v>
      </c>
      <c r="P15" s="959">
        <f>+'NEW Spring CHP by DISC'!P15/15</f>
        <v>0</v>
      </c>
      <c r="Q15" s="154">
        <f>+'NEW Spring CHP by DISC'!Q15/15</f>
        <v>21</v>
      </c>
      <c r="R15" s="154">
        <f>+'NEW Spring CHP by DISC'!R15/12</f>
        <v>0</v>
      </c>
      <c r="S15" s="154">
        <f t="shared" si="5"/>
        <v>21</v>
      </c>
      <c r="T15" s="155">
        <f t="shared" si="6"/>
        <v>0.12903225806451604</v>
      </c>
      <c r="U15" s="154">
        <f>+'NEW Spring CHP by DISC'!U15/15</f>
        <v>0</v>
      </c>
      <c r="V15" s="154">
        <f>+'NEW Spring CHP by DISC'!V15/15</f>
        <v>31.4</v>
      </c>
      <c r="W15" s="154">
        <f>+'NEW Spring CHP by DISC'!W15/12</f>
        <v>0</v>
      </c>
      <c r="X15" s="154">
        <f t="shared" si="7"/>
        <v>31.4</v>
      </c>
      <c r="Y15" s="155">
        <f t="shared" si="8"/>
        <v>0.49523809523809514</v>
      </c>
      <c r="Z15" s="512">
        <f>+'NEW Spring CHP by DISC'!Z15/15</f>
        <v>0</v>
      </c>
      <c r="AA15" s="512">
        <f>+'NEW Spring CHP by DISC'!AA15/15</f>
        <v>19</v>
      </c>
      <c r="AB15" s="512">
        <f>+'NEW Spring CHP by DISC'!AB15/12</f>
        <v>0</v>
      </c>
      <c r="AC15" s="512">
        <f t="shared" si="9"/>
        <v>19</v>
      </c>
      <c r="AD15" s="1403">
        <f t="shared" si="10"/>
        <v>-0.39490445859872608</v>
      </c>
      <c r="AE15" s="328"/>
      <c r="AF15" s="328"/>
      <c r="AG15" s="328"/>
      <c r="AH15" s="328"/>
      <c r="AI15" s="328"/>
      <c r="AJ15" s="328"/>
      <c r="AK15" s="328"/>
      <c r="AL15" s="328"/>
    </row>
    <row r="16" spans="1:39" s="575" customFormat="1" ht="13.8" x14ac:dyDescent="0.25">
      <c r="A16" s="570" t="s">
        <v>961</v>
      </c>
      <c r="B16" s="571">
        <f t="shared" ref="B16:I16" si="21">SUM(B7:B15)</f>
        <v>143.60000000000002</v>
      </c>
      <c r="C16" s="571">
        <f t="shared" si="21"/>
        <v>123.19999999999999</v>
      </c>
      <c r="D16" s="571">
        <f t="shared" si="21"/>
        <v>0</v>
      </c>
      <c r="E16" s="746">
        <f t="shared" si="21"/>
        <v>266.80000000000007</v>
      </c>
      <c r="F16" s="571">
        <f t="shared" si="21"/>
        <v>155.19999999999999</v>
      </c>
      <c r="G16" s="571">
        <f t="shared" si="21"/>
        <v>143.26666666666668</v>
      </c>
      <c r="H16" s="571">
        <f t="shared" si="21"/>
        <v>0</v>
      </c>
      <c r="I16" s="571">
        <f t="shared" si="21"/>
        <v>298.46666666666664</v>
      </c>
      <c r="J16" s="751">
        <f t="shared" si="2"/>
        <v>0.11869065467266328</v>
      </c>
      <c r="K16" s="1255">
        <f>SUM(K7:K15)</f>
        <v>170.8</v>
      </c>
      <c r="L16" s="571">
        <f>SUM(L7:L15)</f>
        <v>154.06666666666666</v>
      </c>
      <c r="M16" s="571">
        <f>SUM(M7:M15)</f>
        <v>0</v>
      </c>
      <c r="N16" s="571">
        <f>SUM(N7:N15)</f>
        <v>324.86666666666667</v>
      </c>
      <c r="O16" s="613">
        <f t="shared" si="4"/>
        <v>8.8452088452088573E-2</v>
      </c>
      <c r="P16" s="1255">
        <f>SUM(P7:P15)</f>
        <v>175.33333333333331</v>
      </c>
      <c r="Q16" s="571">
        <f>SUM(Q7:Q15)</f>
        <v>158.06666666666669</v>
      </c>
      <c r="R16" s="571">
        <f>SUM(R7:R15)</f>
        <v>0</v>
      </c>
      <c r="S16" s="571">
        <f>SUM(S7:S15)</f>
        <v>333.40000000000003</v>
      </c>
      <c r="T16" s="613">
        <f t="shared" si="6"/>
        <v>2.6267186538066981E-2</v>
      </c>
      <c r="U16" s="571">
        <f>SUM(U7:U15)</f>
        <v>186.13333333333333</v>
      </c>
      <c r="V16" s="571">
        <f>SUM(V7:V15)</f>
        <v>186.00000000000003</v>
      </c>
      <c r="W16" s="571">
        <f>SUM(W7:W15)</f>
        <v>0</v>
      </c>
      <c r="X16" s="571">
        <f>SUM(X7:X15)</f>
        <v>372.13333333333327</v>
      </c>
      <c r="Y16" s="613">
        <f t="shared" si="8"/>
        <v>0.11617676464707027</v>
      </c>
      <c r="Z16" s="1404">
        <f>SUM(Z7:Z15)</f>
        <v>165.73333333333332</v>
      </c>
      <c r="AA16" s="1404">
        <f>SUM(AA7:AA15)</f>
        <v>167.86666666666665</v>
      </c>
      <c r="AB16" s="1404">
        <f>SUM(AB7:AB15)</f>
        <v>0</v>
      </c>
      <c r="AC16" s="1404">
        <f>SUM(AC7:AC15)</f>
        <v>333.6</v>
      </c>
      <c r="AD16" s="1405">
        <f t="shared" si="10"/>
        <v>-0.10354711572912913</v>
      </c>
    </row>
    <row r="17" spans="1:38" x14ac:dyDescent="0.25">
      <c r="A17" s="576" t="s">
        <v>424</v>
      </c>
      <c r="B17" s="577"/>
      <c r="C17" s="578"/>
      <c r="D17" s="578"/>
      <c r="E17" s="518"/>
      <c r="F17" s="605"/>
      <c r="G17" s="578"/>
      <c r="H17" s="578"/>
      <c r="I17" s="578"/>
      <c r="J17" s="518"/>
      <c r="K17" s="1256"/>
      <c r="L17" s="578"/>
      <c r="M17" s="578"/>
      <c r="N17" s="578"/>
      <c r="O17" s="518"/>
      <c r="P17" s="1256"/>
      <c r="Q17" s="578"/>
      <c r="R17" s="578"/>
      <c r="S17" s="578"/>
      <c r="T17" s="518"/>
      <c r="U17" s="605"/>
      <c r="V17" s="578"/>
      <c r="W17" s="578"/>
      <c r="X17" s="578"/>
      <c r="Y17" s="518"/>
      <c r="Z17" s="151"/>
      <c r="AA17" s="152"/>
      <c r="AB17" s="152"/>
      <c r="AC17" s="152"/>
      <c r="AD17" s="153"/>
      <c r="AE17" s="328"/>
      <c r="AF17" s="328"/>
      <c r="AG17" s="328"/>
      <c r="AH17" s="328"/>
      <c r="AI17" s="328"/>
      <c r="AJ17" s="328"/>
      <c r="AK17" s="328"/>
      <c r="AL17" s="328"/>
    </row>
    <row r="18" spans="1:38" x14ac:dyDescent="0.25">
      <c r="A18" s="579" t="s">
        <v>989</v>
      </c>
      <c r="B18" s="154">
        <f>+'NEW Spring CHP by DISC'!B18/15</f>
        <v>5.2</v>
      </c>
      <c r="C18" s="154">
        <f>+'NEW Spring CHP by DISC'!C18/15</f>
        <v>1.4</v>
      </c>
      <c r="D18" s="154">
        <f>+'NEW Spring CHP by DISC'!D18/12</f>
        <v>0</v>
      </c>
      <c r="E18" s="375">
        <f>SUM(B18:D18)</f>
        <v>6.6</v>
      </c>
      <c r="F18" s="154">
        <f>+'NEW Spring CHP by DISC'!F18/15</f>
        <v>13.2</v>
      </c>
      <c r="G18" s="154">
        <f>+'NEW Spring CHP by DISC'!G18/15</f>
        <v>0</v>
      </c>
      <c r="H18" s="154">
        <f>+'NEW Spring CHP by DISC'!H18/12</f>
        <v>0</v>
      </c>
      <c r="I18" s="581">
        <f>SUM(F18:H18)</f>
        <v>13.2</v>
      </c>
      <c r="J18" s="582">
        <f t="shared" ref="J18:J23" si="22">IF(E18&gt;0,(I18-E18)/E18,(IF(I18=0,"N/A",100%)))</f>
        <v>1</v>
      </c>
      <c r="K18" s="959">
        <f>+'NEW Spring CHP by DISC'!K18/15</f>
        <v>13</v>
      </c>
      <c r="L18" s="154">
        <f>+'NEW Spring CHP by DISC'!L18/15</f>
        <v>0</v>
      </c>
      <c r="M18" s="154">
        <f>+'NEW Spring CHP by DISC'!M18/12</f>
        <v>0</v>
      </c>
      <c r="N18" s="581">
        <f>SUM(K18:M18)</f>
        <v>13</v>
      </c>
      <c r="O18" s="155">
        <f t="shared" ref="O18:O23" si="23">IF(I18&gt;0,(N18-I18)/I18,(IF(N18=0,"N/A",100%)))</f>
        <v>-1.5151515151515098E-2</v>
      </c>
      <c r="P18" s="959">
        <f>+'NEW Spring CHP by DISC'!P18/15</f>
        <v>14</v>
      </c>
      <c r="Q18" s="154">
        <f>+'NEW Spring CHP by DISC'!Q18/15</f>
        <v>0</v>
      </c>
      <c r="R18" s="154">
        <f>+'NEW Spring CHP by DISC'!R18/12</f>
        <v>0</v>
      </c>
      <c r="S18" s="581">
        <f>SUM(P18:R18)</f>
        <v>14</v>
      </c>
      <c r="T18" s="155">
        <f t="shared" ref="T18:T23" si="24">IF(N18&gt;0,(S18-N18)/N18,(IF(S18=0,"N/A",100%)))</f>
        <v>7.6923076923076927E-2</v>
      </c>
      <c r="U18" s="154">
        <f>+'NEW Spring CHP by DISC'!U18/15</f>
        <v>10.199999999999999</v>
      </c>
      <c r="V18" s="154">
        <f>+'NEW Spring CHP by DISC'!V18/15</f>
        <v>0</v>
      </c>
      <c r="W18" s="154">
        <f>+'NEW Spring CHP by DISC'!W18/12</f>
        <v>0</v>
      </c>
      <c r="X18" s="581">
        <f>SUM(U18:W18)</f>
        <v>10.199999999999999</v>
      </c>
      <c r="Y18" s="155">
        <f t="shared" ref="Y18:Y23" si="25">IF(S18&gt;0,(X18-S18)/S18,(IF(X18=0,"N/A",100%)))</f>
        <v>-0.27142857142857146</v>
      </c>
      <c r="Z18" s="512">
        <f>+'NEW Spring CHP by DISC'!Z18/15</f>
        <v>10.199999999999999</v>
      </c>
      <c r="AA18" s="512">
        <f>+'NEW Spring CHP by DISC'!AA18/15</f>
        <v>0</v>
      </c>
      <c r="AB18" s="512">
        <f>+'NEW Spring CHP by DISC'!AB18/12</f>
        <v>0</v>
      </c>
      <c r="AC18" s="1111">
        <f>SUM(Z18:AB18)</f>
        <v>10.199999999999999</v>
      </c>
      <c r="AD18" s="1403">
        <f t="shared" ref="AD18:AD23" si="26">IF(X18&gt;0,(AC18-X18)/X18,(IF(AC18=0,"N/A",100%)))</f>
        <v>0</v>
      </c>
      <c r="AE18" s="328"/>
      <c r="AF18" s="328"/>
      <c r="AG18" s="328"/>
      <c r="AH18" s="328"/>
      <c r="AI18" s="328"/>
      <c r="AJ18" s="328"/>
      <c r="AK18" s="328"/>
      <c r="AL18" s="328"/>
    </row>
    <row r="19" spans="1:38" x14ac:dyDescent="0.25">
      <c r="A19" s="579" t="s">
        <v>503</v>
      </c>
      <c r="B19" s="154">
        <f>+'NEW Spring CHP by DISC'!B19/15</f>
        <v>0</v>
      </c>
      <c r="C19" s="154">
        <f>+'NEW Spring CHP by DISC'!C19/15</f>
        <v>7.4</v>
      </c>
      <c r="D19" s="154">
        <f>+'NEW Spring CHP by DISC'!D19/12</f>
        <v>0</v>
      </c>
      <c r="E19" s="375">
        <f>SUM(B19:D19)</f>
        <v>7.4</v>
      </c>
      <c r="F19" s="154">
        <f>+'NEW Spring CHP by DISC'!F19/15</f>
        <v>0</v>
      </c>
      <c r="G19" s="154">
        <f>+'NEW Spring CHP by DISC'!G19/15</f>
        <v>5</v>
      </c>
      <c r="H19" s="154">
        <f>+'NEW Spring CHP by DISC'!H19/12</f>
        <v>0</v>
      </c>
      <c r="I19" s="581">
        <f>SUM(F19:H19)</f>
        <v>5</v>
      </c>
      <c r="J19" s="582">
        <f t="shared" si="22"/>
        <v>-0.32432432432432434</v>
      </c>
      <c r="K19" s="959">
        <f>+'NEW Spring CHP by DISC'!K19/15</f>
        <v>0</v>
      </c>
      <c r="L19" s="154">
        <f>+'NEW Spring CHP by DISC'!L19/15</f>
        <v>4.4000000000000004</v>
      </c>
      <c r="M19" s="154">
        <f>+'NEW Spring CHP by DISC'!M19/12</f>
        <v>0</v>
      </c>
      <c r="N19" s="581">
        <f>SUM(K19:M19)</f>
        <v>4.4000000000000004</v>
      </c>
      <c r="O19" s="155">
        <f t="shared" si="23"/>
        <v>-0.11999999999999993</v>
      </c>
      <c r="P19" s="959">
        <f>+'NEW Spring CHP by DISC'!P19/15</f>
        <v>0</v>
      </c>
      <c r="Q19" s="154">
        <f>+'NEW Spring CHP by DISC'!Q19/15</f>
        <v>3.2</v>
      </c>
      <c r="R19" s="154">
        <f>+'NEW Spring CHP by DISC'!R19/12</f>
        <v>0</v>
      </c>
      <c r="S19" s="581">
        <f>SUM(P19:R19)</f>
        <v>3.2</v>
      </c>
      <c r="T19" s="155">
        <f t="shared" si="24"/>
        <v>-0.27272727272727276</v>
      </c>
      <c r="U19" s="154">
        <f>+'NEW Spring CHP by DISC'!U19/15</f>
        <v>0</v>
      </c>
      <c r="V19" s="154">
        <f>+'NEW Spring CHP by DISC'!V19/15</f>
        <v>2</v>
      </c>
      <c r="W19" s="154">
        <f>+'NEW Spring CHP by DISC'!W19/12</f>
        <v>0</v>
      </c>
      <c r="X19" s="581">
        <f>SUM(U19:W19)</f>
        <v>2</v>
      </c>
      <c r="Y19" s="155">
        <f t="shared" si="25"/>
        <v>-0.37500000000000006</v>
      </c>
      <c r="Z19" s="512">
        <f>+'NEW Spring CHP by DISC'!Z19/15</f>
        <v>0</v>
      </c>
      <c r="AA19" s="512">
        <f>+'NEW Spring CHP by DISC'!AA19/15</f>
        <v>3.8</v>
      </c>
      <c r="AB19" s="512">
        <f>+'NEW Spring CHP by DISC'!AB19/12</f>
        <v>0</v>
      </c>
      <c r="AC19" s="1111">
        <f>SUM(Z19:AB19)</f>
        <v>3.8</v>
      </c>
      <c r="AD19" s="1403">
        <f t="shared" si="26"/>
        <v>0.89999999999999991</v>
      </c>
      <c r="AE19" s="328"/>
      <c r="AF19" s="328"/>
      <c r="AG19" s="328"/>
      <c r="AH19" s="328"/>
      <c r="AI19" s="328"/>
      <c r="AJ19" s="328"/>
      <c r="AK19" s="328"/>
      <c r="AL19" s="328"/>
    </row>
    <row r="20" spans="1:38" x14ac:dyDescent="0.25">
      <c r="A20" s="579" t="s">
        <v>988</v>
      </c>
      <c r="B20" s="154">
        <f>+'NEW Spring CHP by DISC'!B20/15</f>
        <v>30.8</v>
      </c>
      <c r="C20" s="154">
        <f>+'NEW Spring CHP by DISC'!C20/15</f>
        <v>37.799999999999997</v>
      </c>
      <c r="D20" s="154">
        <f>+'NEW Spring CHP by DISC'!D20/12</f>
        <v>0</v>
      </c>
      <c r="E20" s="375">
        <f>SUM(B20:D20)</f>
        <v>68.599999999999994</v>
      </c>
      <c r="F20" s="154">
        <f>+'NEW Spring CHP by DISC'!F20/15</f>
        <v>37</v>
      </c>
      <c r="G20" s="154">
        <f>+'NEW Spring CHP by DISC'!G20/15</f>
        <v>33.06666666666667</v>
      </c>
      <c r="H20" s="154">
        <f>+'NEW Spring CHP by DISC'!H20/12</f>
        <v>0</v>
      </c>
      <c r="I20" s="581">
        <f>SUM(F20:H20)</f>
        <v>70.066666666666663</v>
      </c>
      <c r="J20" s="582">
        <f t="shared" si="22"/>
        <v>2.1379980563654061E-2</v>
      </c>
      <c r="K20" s="959">
        <f>+'NEW Spring CHP by DISC'!K20/15</f>
        <v>51.2</v>
      </c>
      <c r="L20" s="154">
        <f>+'NEW Spring CHP by DISC'!L20/15</f>
        <v>25.6</v>
      </c>
      <c r="M20" s="154">
        <f>+'NEW Spring CHP by DISC'!M20/12</f>
        <v>0</v>
      </c>
      <c r="N20" s="581">
        <f>SUM(K20:M20)</f>
        <v>76.800000000000011</v>
      </c>
      <c r="O20" s="155">
        <f t="shared" si="23"/>
        <v>9.6098953377735705E-2</v>
      </c>
      <c r="P20" s="959">
        <f>+'NEW Spring CHP by DISC'!P20/15</f>
        <v>45.2</v>
      </c>
      <c r="Q20" s="154">
        <f>+'NEW Spring CHP by DISC'!Q20/15</f>
        <v>22.666666666666668</v>
      </c>
      <c r="R20" s="154">
        <f>+'NEW Spring CHP by DISC'!R20/12</f>
        <v>0</v>
      </c>
      <c r="S20" s="581">
        <f>SUM(P20:R20)</f>
        <v>67.866666666666674</v>
      </c>
      <c r="T20" s="155">
        <f t="shared" si="24"/>
        <v>-0.11631944444444448</v>
      </c>
      <c r="U20" s="154">
        <f>+'NEW Spring CHP by DISC'!U20/15</f>
        <v>40.200000000000003</v>
      </c>
      <c r="V20" s="154">
        <f>+'NEW Spring CHP by DISC'!V20/15</f>
        <v>19</v>
      </c>
      <c r="W20" s="154">
        <f>+'NEW Spring CHP by DISC'!W20/12</f>
        <v>0</v>
      </c>
      <c r="X20" s="581">
        <f>SUM(U20:W20)</f>
        <v>59.2</v>
      </c>
      <c r="Y20" s="155">
        <f t="shared" si="25"/>
        <v>-0.12770137524557962</v>
      </c>
      <c r="Z20" s="512">
        <f>+'NEW Spring CHP by DISC'!Z20/15</f>
        <v>35</v>
      </c>
      <c r="AA20" s="512">
        <f>+'NEW Spring CHP by DISC'!AA20/15</f>
        <v>16.933333333333334</v>
      </c>
      <c r="AB20" s="512">
        <f>+'NEW Spring CHP by DISC'!AB20/12</f>
        <v>0</v>
      </c>
      <c r="AC20" s="1111">
        <f>SUM(Z20:AB20)</f>
        <v>51.933333333333337</v>
      </c>
      <c r="AD20" s="1403">
        <f t="shared" si="26"/>
        <v>-0.12274774774774773</v>
      </c>
      <c r="AE20" s="328"/>
      <c r="AF20" s="328"/>
      <c r="AG20" s="328"/>
      <c r="AH20" s="328"/>
      <c r="AI20" s="328"/>
      <c r="AJ20" s="328"/>
      <c r="AK20" s="328"/>
      <c r="AL20" s="328"/>
    </row>
    <row r="21" spans="1:38" x14ac:dyDescent="0.25">
      <c r="A21" s="579" t="s">
        <v>960</v>
      </c>
      <c r="B21" s="154">
        <f>+'NEW Spring CHP by DISC'!B21/15</f>
        <v>36.266666666666666</v>
      </c>
      <c r="C21" s="154">
        <f>+'NEW Spring CHP by DISC'!C21/15</f>
        <v>37.6</v>
      </c>
      <c r="D21" s="154">
        <f>+'NEW Spring CHP by DISC'!D21/12</f>
        <v>0</v>
      </c>
      <c r="E21" s="375">
        <f>SUM(B21:D21)</f>
        <v>73.866666666666674</v>
      </c>
      <c r="F21" s="154">
        <f>+'NEW Spring CHP by DISC'!F21/15</f>
        <v>47</v>
      </c>
      <c r="G21" s="154">
        <f>+'NEW Spring CHP by DISC'!G21/15</f>
        <v>49</v>
      </c>
      <c r="H21" s="154">
        <f>+'NEW Spring CHP by DISC'!H21/12</f>
        <v>0</v>
      </c>
      <c r="I21" s="581">
        <f>SUM(F21:H21)</f>
        <v>96</v>
      </c>
      <c r="J21" s="582">
        <f t="shared" si="22"/>
        <v>0.29963898916967496</v>
      </c>
      <c r="K21" s="959">
        <f>+'NEW Spring CHP by DISC'!K21/15</f>
        <v>45.466666666666669</v>
      </c>
      <c r="L21" s="154">
        <f>+'NEW Spring CHP by DISC'!L21/15</f>
        <v>39.6</v>
      </c>
      <c r="M21" s="154">
        <f>+'NEW Spring CHP by DISC'!M21/12</f>
        <v>0</v>
      </c>
      <c r="N21" s="581">
        <f>SUM(K21:M21)</f>
        <v>85.066666666666663</v>
      </c>
      <c r="O21" s="155">
        <f t="shared" si="23"/>
        <v>-0.11388888888888893</v>
      </c>
      <c r="P21" s="959">
        <f>+'NEW Spring CHP by DISC'!P21/15</f>
        <v>51.733333333333334</v>
      </c>
      <c r="Q21" s="154">
        <f>+'NEW Spring CHP by DISC'!Q21/15</f>
        <v>37.200000000000003</v>
      </c>
      <c r="R21" s="154">
        <f>+'NEW Spring CHP by DISC'!R21/12</f>
        <v>0</v>
      </c>
      <c r="S21" s="581">
        <f>SUM(P21:R21)</f>
        <v>88.933333333333337</v>
      </c>
      <c r="T21" s="155">
        <f t="shared" si="24"/>
        <v>4.5454545454545546E-2</v>
      </c>
      <c r="U21" s="154">
        <f>+'NEW Spring CHP by DISC'!U21/15</f>
        <v>49.8</v>
      </c>
      <c r="V21" s="154">
        <f>+'NEW Spring CHP by DISC'!V21/15</f>
        <v>38.200000000000003</v>
      </c>
      <c r="W21" s="154">
        <f>+'NEW Spring CHP by DISC'!W21/12</f>
        <v>0</v>
      </c>
      <c r="X21" s="581">
        <f>SUM(U21:W21)</f>
        <v>88</v>
      </c>
      <c r="Y21" s="155">
        <f t="shared" si="25"/>
        <v>-1.0494752623688198E-2</v>
      </c>
      <c r="Z21" s="512">
        <f>+'NEW Spring CHP by DISC'!Z21/15</f>
        <v>50.866666666666667</v>
      </c>
      <c r="AA21" s="512">
        <f>+'NEW Spring CHP by DISC'!AA21/15</f>
        <v>29.4</v>
      </c>
      <c r="AB21" s="512">
        <f>+'NEW Spring CHP by DISC'!AB21/12</f>
        <v>0</v>
      </c>
      <c r="AC21" s="1111">
        <f>SUM(Z21:AB21)</f>
        <v>80.266666666666666</v>
      </c>
      <c r="AD21" s="1403">
        <f t="shared" si="26"/>
        <v>-8.787878787878789E-2</v>
      </c>
      <c r="AE21" s="328"/>
      <c r="AF21" s="328"/>
      <c r="AG21" s="328"/>
      <c r="AH21" s="328"/>
      <c r="AI21" s="328"/>
      <c r="AJ21" s="328"/>
      <c r="AK21" s="328"/>
      <c r="AL21" s="328"/>
    </row>
    <row r="22" spans="1:38" s="575" customFormat="1" ht="13.8" x14ac:dyDescent="0.25">
      <c r="A22" s="584" t="s">
        <v>961</v>
      </c>
      <c r="B22" s="586">
        <f t="shared" ref="B22:I22" si="27">SUM(B18:B21)</f>
        <v>72.266666666666666</v>
      </c>
      <c r="C22" s="586">
        <f t="shared" si="27"/>
        <v>84.199999999999989</v>
      </c>
      <c r="D22" s="586">
        <f t="shared" si="27"/>
        <v>0</v>
      </c>
      <c r="E22" s="587">
        <f t="shared" si="27"/>
        <v>156.46666666666667</v>
      </c>
      <c r="F22" s="585">
        <f t="shared" si="27"/>
        <v>97.2</v>
      </c>
      <c r="G22" s="586">
        <f t="shared" si="27"/>
        <v>87.066666666666663</v>
      </c>
      <c r="H22" s="586">
        <f t="shared" si="27"/>
        <v>0</v>
      </c>
      <c r="I22" s="586">
        <f t="shared" si="27"/>
        <v>184.26666666666665</v>
      </c>
      <c r="J22" s="588">
        <f t="shared" si="22"/>
        <v>0.17767362590541105</v>
      </c>
      <c r="K22" s="1219">
        <f>SUM(K18:K21)</f>
        <v>109.66666666666667</v>
      </c>
      <c r="L22" s="586">
        <f>SUM(L18:L21)</f>
        <v>69.599999999999994</v>
      </c>
      <c r="M22" s="586">
        <f>SUM(M18:M21)</f>
        <v>0</v>
      </c>
      <c r="N22" s="586">
        <f>SUM(N18:N21)</f>
        <v>179.26666666666668</v>
      </c>
      <c r="O22" s="613">
        <f t="shared" si="23"/>
        <v>-2.7134587554269025E-2</v>
      </c>
      <c r="P22" s="1219">
        <f>SUM(P18:P21)</f>
        <v>110.93333333333334</v>
      </c>
      <c r="Q22" s="586">
        <f>SUM(Q18:Q21)</f>
        <v>63.06666666666667</v>
      </c>
      <c r="R22" s="586">
        <f>SUM(R18:R21)</f>
        <v>0</v>
      </c>
      <c r="S22" s="586">
        <f>SUM(S18:S21)</f>
        <v>174</v>
      </c>
      <c r="T22" s="613">
        <f t="shared" si="24"/>
        <v>-2.9378951283004905E-2</v>
      </c>
      <c r="U22" s="585">
        <f>SUM(U18:U21)</f>
        <v>100.2</v>
      </c>
      <c r="V22" s="586">
        <f>SUM(V18:V21)</f>
        <v>59.2</v>
      </c>
      <c r="W22" s="586">
        <f>SUM(W18:W21)</f>
        <v>0</v>
      </c>
      <c r="X22" s="586">
        <f>SUM(X18:X21)</f>
        <v>159.4</v>
      </c>
      <c r="Y22" s="613">
        <f t="shared" si="25"/>
        <v>-8.3908045977011458E-2</v>
      </c>
      <c r="Z22" s="1406">
        <f>SUM(Z18:Z21)</f>
        <v>96.066666666666663</v>
      </c>
      <c r="AA22" s="1407">
        <f>SUM(AA18:AA21)</f>
        <v>50.133333333333333</v>
      </c>
      <c r="AB22" s="1407">
        <f>SUM(AB18:AB21)</f>
        <v>0</v>
      </c>
      <c r="AC22" s="1407">
        <f>SUM(AC18:AC21)</f>
        <v>146.19999999999999</v>
      </c>
      <c r="AD22" s="1405">
        <f t="shared" si="26"/>
        <v>-8.2810539523212143E-2</v>
      </c>
    </row>
    <row r="23" spans="1:38" s="596" customFormat="1" ht="16.2" thickBot="1" x14ac:dyDescent="0.35">
      <c r="A23" s="590" t="s">
        <v>425</v>
      </c>
      <c r="B23" s="592">
        <f t="shared" ref="B23:I23" si="28">+B22+B16</f>
        <v>215.86666666666667</v>
      </c>
      <c r="C23" s="592">
        <f t="shared" si="28"/>
        <v>207.39999999999998</v>
      </c>
      <c r="D23" s="592">
        <f t="shared" si="28"/>
        <v>0</v>
      </c>
      <c r="E23" s="593">
        <f t="shared" si="28"/>
        <v>423.26666666666677</v>
      </c>
      <c r="F23" s="591">
        <f t="shared" si="28"/>
        <v>252.39999999999998</v>
      </c>
      <c r="G23" s="592">
        <f t="shared" si="28"/>
        <v>230.33333333333334</v>
      </c>
      <c r="H23" s="592">
        <f t="shared" si="28"/>
        <v>0</v>
      </c>
      <c r="I23" s="592">
        <f t="shared" si="28"/>
        <v>482.73333333333329</v>
      </c>
      <c r="J23" s="594">
        <f t="shared" si="22"/>
        <v>0.14049456607339703</v>
      </c>
      <c r="K23" s="962">
        <f>+K22+K16</f>
        <v>280.4666666666667</v>
      </c>
      <c r="L23" s="592">
        <f>+L22+L16</f>
        <v>223.66666666666666</v>
      </c>
      <c r="M23" s="592">
        <f>+M22+M16</f>
        <v>0</v>
      </c>
      <c r="N23" s="592">
        <f>+N22+N16</f>
        <v>504.13333333333333</v>
      </c>
      <c r="O23" s="1257">
        <f t="shared" si="23"/>
        <v>4.4330893522994137E-2</v>
      </c>
      <c r="P23" s="962">
        <f>+P22+P16</f>
        <v>286.26666666666665</v>
      </c>
      <c r="Q23" s="592">
        <f>+Q22+Q16</f>
        <v>221.13333333333335</v>
      </c>
      <c r="R23" s="592">
        <f>+R22+R16</f>
        <v>0</v>
      </c>
      <c r="S23" s="592">
        <f>+S22+S16</f>
        <v>507.40000000000003</v>
      </c>
      <c r="T23" s="1257">
        <f t="shared" si="24"/>
        <v>6.4797672573394111E-3</v>
      </c>
      <c r="U23" s="591">
        <f>+U22+U16</f>
        <v>286.33333333333331</v>
      </c>
      <c r="V23" s="592">
        <f>+V22+V16</f>
        <v>245.20000000000005</v>
      </c>
      <c r="W23" s="592">
        <f>+W22+W16</f>
        <v>0</v>
      </c>
      <c r="X23" s="592">
        <f>+X22+X16</f>
        <v>531.5333333333333</v>
      </c>
      <c r="Y23" s="1257">
        <f t="shared" si="25"/>
        <v>4.7562738142162532E-2</v>
      </c>
      <c r="Z23" s="1408">
        <f>+Z22+Z16</f>
        <v>261.79999999999995</v>
      </c>
      <c r="AA23" s="1409">
        <f>+AA22+AA16</f>
        <v>217.99999999999997</v>
      </c>
      <c r="AB23" s="1409">
        <f>+AB22+AB16</f>
        <v>0</v>
      </c>
      <c r="AC23" s="1409">
        <f>+AC22+AC16</f>
        <v>479.8</v>
      </c>
      <c r="AD23" s="1410">
        <f t="shared" si="26"/>
        <v>-9.7328483632258794E-2</v>
      </c>
    </row>
    <row r="24" spans="1:38" ht="13.8" thickTop="1" x14ac:dyDescent="0.25">
      <c r="A24" s="597"/>
      <c r="B24" s="335"/>
      <c r="C24" s="335"/>
      <c r="D24" s="335"/>
      <c r="E24" s="335"/>
      <c r="F24" s="335"/>
      <c r="G24" s="335"/>
      <c r="H24" s="335"/>
      <c r="I24" s="335"/>
      <c r="J24" s="598"/>
      <c r="K24" s="328"/>
      <c r="L24" s="328"/>
      <c r="M24" s="328"/>
      <c r="N24" s="328"/>
      <c r="O24" s="328"/>
      <c r="P24" s="328"/>
      <c r="Q24" s="328"/>
      <c r="R24" s="328"/>
      <c r="S24" s="328"/>
      <c r="T24" s="328"/>
      <c r="U24" s="328"/>
      <c r="V24" s="328"/>
      <c r="W24" s="328"/>
      <c r="X24" s="328"/>
      <c r="Y24" s="328"/>
      <c r="Z24" s="871"/>
      <c r="AA24" s="871"/>
      <c r="AB24" s="871"/>
      <c r="AC24" s="871"/>
      <c r="AD24" s="871"/>
      <c r="AE24" s="328"/>
      <c r="AF24" s="328"/>
      <c r="AG24" s="328"/>
      <c r="AH24" s="328"/>
      <c r="AI24" s="328"/>
      <c r="AJ24" s="328"/>
      <c r="AK24" s="328"/>
      <c r="AL24" s="328"/>
    </row>
    <row r="25" spans="1:38" ht="13.8" thickBot="1" x14ac:dyDescent="0.3">
      <c r="A25" s="597"/>
      <c r="B25" s="335"/>
      <c r="C25" s="335"/>
      <c r="D25" s="335"/>
      <c r="E25" s="335"/>
      <c r="F25" s="335"/>
      <c r="G25" s="335"/>
      <c r="H25" s="335"/>
      <c r="I25" s="335"/>
      <c r="J25" s="598"/>
      <c r="K25" s="328"/>
      <c r="L25" s="328"/>
      <c r="M25" s="328"/>
      <c r="N25" s="328"/>
      <c r="O25" s="328"/>
      <c r="P25" s="328"/>
      <c r="Q25" s="328"/>
      <c r="R25" s="328"/>
      <c r="S25" s="328"/>
      <c r="T25" s="328"/>
      <c r="U25" s="328"/>
      <c r="V25" s="328"/>
      <c r="W25" s="328"/>
      <c r="X25" s="328"/>
      <c r="Y25" s="328"/>
      <c r="Z25" s="871"/>
      <c r="AA25" s="871"/>
      <c r="AB25" s="871"/>
      <c r="AC25" s="871"/>
      <c r="AD25" s="871"/>
      <c r="AE25" s="328"/>
      <c r="AF25" s="328"/>
      <c r="AG25" s="328"/>
      <c r="AH25" s="328"/>
      <c r="AI25" s="328"/>
      <c r="AJ25" s="328"/>
      <c r="AK25" s="328"/>
      <c r="AL25" s="328"/>
    </row>
    <row r="26" spans="1:38" customFormat="1" ht="18.600000000000001" thickTop="1" thickBot="1" x14ac:dyDescent="0.35">
      <c r="A26" s="1736" t="s">
        <v>415</v>
      </c>
      <c r="B26" s="1737"/>
      <c r="C26" s="1737"/>
      <c r="D26" s="1737"/>
      <c r="E26" s="1737"/>
      <c r="F26" s="1737"/>
      <c r="G26" s="1737"/>
      <c r="H26" s="1737"/>
      <c r="I26" s="1737"/>
      <c r="J26" s="1737"/>
      <c r="K26" s="1737"/>
      <c r="L26" s="1737"/>
      <c r="M26" s="1737"/>
      <c r="N26" s="1737"/>
      <c r="O26" s="1737"/>
      <c r="P26" s="1737"/>
      <c r="Q26" s="1737"/>
      <c r="R26" s="1737"/>
      <c r="S26" s="1737"/>
      <c r="T26" s="1737"/>
      <c r="U26" s="1737"/>
      <c r="V26" s="1737"/>
      <c r="W26" s="1737"/>
      <c r="X26" s="1737"/>
      <c r="Y26" s="1737"/>
      <c r="Z26" s="1737"/>
      <c r="AA26" s="1737"/>
      <c r="AB26" s="1737"/>
      <c r="AC26" s="1737"/>
      <c r="AD26" s="1738"/>
    </row>
    <row r="27" spans="1:38" ht="40.200000000000003" customHeight="1" thickTop="1" x14ac:dyDescent="0.25">
      <c r="A27" s="1723" t="s">
        <v>952</v>
      </c>
      <c r="B27" s="148" t="s">
        <v>954</v>
      </c>
      <c r="C27" s="148" t="s">
        <v>955</v>
      </c>
      <c r="D27" s="148" t="s">
        <v>956</v>
      </c>
      <c r="E27" s="820" t="s">
        <v>1015</v>
      </c>
      <c r="F27" s="148" t="s">
        <v>954</v>
      </c>
      <c r="G27" s="148" t="s">
        <v>955</v>
      </c>
      <c r="H27" s="148" t="s">
        <v>956</v>
      </c>
      <c r="I27" s="823" t="s">
        <v>1015</v>
      </c>
      <c r="J27" s="149" t="s">
        <v>1017</v>
      </c>
      <c r="K27" s="1253" t="s">
        <v>954</v>
      </c>
      <c r="L27" s="148" t="s">
        <v>955</v>
      </c>
      <c r="M27" s="148" t="s">
        <v>956</v>
      </c>
      <c r="N27" s="823" t="s">
        <v>1015</v>
      </c>
      <c r="O27" s="149" t="s">
        <v>1017</v>
      </c>
      <c r="P27" s="1253" t="s">
        <v>954</v>
      </c>
      <c r="Q27" s="148" t="s">
        <v>955</v>
      </c>
      <c r="R27" s="148" t="s">
        <v>956</v>
      </c>
      <c r="S27" s="823" t="s">
        <v>1015</v>
      </c>
      <c r="T27" s="149" t="s">
        <v>1017</v>
      </c>
      <c r="U27" s="148" t="s">
        <v>954</v>
      </c>
      <c r="V27" s="148" t="s">
        <v>955</v>
      </c>
      <c r="W27" s="148" t="s">
        <v>956</v>
      </c>
      <c r="X27" s="823" t="s">
        <v>1015</v>
      </c>
      <c r="Y27" s="149" t="s">
        <v>1017</v>
      </c>
      <c r="Z27" s="1400" t="s">
        <v>954</v>
      </c>
      <c r="AA27" s="1400" t="s">
        <v>955</v>
      </c>
      <c r="AB27" s="1400" t="s">
        <v>956</v>
      </c>
      <c r="AC27" s="1401" t="s">
        <v>1015</v>
      </c>
      <c r="AD27" s="1402" t="s">
        <v>1017</v>
      </c>
      <c r="AE27" s="328"/>
      <c r="AF27" s="328"/>
      <c r="AG27" s="328"/>
      <c r="AH27" s="329"/>
      <c r="AI27" s="328"/>
      <c r="AJ27" s="328"/>
      <c r="AK27" s="328"/>
      <c r="AL27" s="328"/>
    </row>
    <row r="28" spans="1:38" ht="12.75" customHeight="1" x14ac:dyDescent="0.25">
      <c r="A28" s="1724"/>
      <c r="B28" s="1726" t="s">
        <v>1443</v>
      </c>
      <c r="C28" s="1727"/>
      <c r="D28" s="1727"/>
      <c r="E28" s="1728"/>
      <c r="F28" s="1727" t="s">
        <v>1442</v>
      </c>
      <c r="G28" s="1727"/>
      <c r="H28" s="1727"/>
      <c r="I28" s="1727"/>
      <c r="J28" s="1728"/>
      <c r="K28" s="1727" t="s">
        <v>1393</v>
      </c>
      <c r="L28" s="1727"/>
      <c r="M28" s="1727"/>
      <c r="N28" s="1727"/>
      <c r="O28" s="1728"/>
      <c r="P28" s="1727" t="s">
        <v>1394</v>
      </c>
      <c r="Q28" s="1727"/>
      <c r="R28" s="1727"/>
      <c r="S28" s="1727"/>
      <c r="T28" s="1728"/>
      <c r="U28" s="1727" t="s">
        <v>1395</v>
      </c>
      <c r="V28" s="1727"/>
      <c r="W28" s="1727"/>
      <c r="X28" s="1727"/>
      <c r="Y28" s="1728"/>
      <c r="Z28" s="1739" t="s">
        <v>1552</v>
      </c>
      <c r="AA28" s="1739"/>
      <c r="AB28" s="1739"/>
      <c r="AC28" s="1739"/>
      <c r="AD28" s="1740"/>
      <c r="AE28" s="328"/>
      <c r="AF28" s="328"/>
      <c r="AG28" s="328"/>
      <c r="AH28" s="328"/>
      <c r="AI28" s="328"/>
      <c r="AJ28" s="328"/>
      <c r="AK28" s="328"/>
      <c r="AL28" s="328"/>
    </row>
    <row r="29" spans="1:38" x14ac:dyDescent="0.25">
      <c r="A29" s="576" t="s">
        <v>426</v>
      </c>
      <c r="B29" s="151"/>
      <c r="C29" s="152"/>
      <c r="D29" s="152"/>
      <c r="E29" s="153"/>
      <c r="F29" s="151"/>
      <c r="G29" s="152"/>
      <c r="H29" s="152"/>
      <c r="I29" s="152"/>
      <c r="J29" s="518"/>
      <c r="K29" s="1254"/>
      <c r="L29" s="152"/>
      <c r="M29" s="152"/>
      <c r="N29" s="152"/>
      <c r="O29" s="518"/>
      <c r="P29" s="1254"/>
      <c r="Q29" s="152"/>
      <c r="R29" s="152"/>
      <c r="S29" s="152"/>
      <c r="T29" s="518"/>
      <c r="U29" s="151"/>
      <c r="V29" s="152"/>
      <c r="W29" s="152"/>
      <c r="X29" s="152"/>
      <c r="Y29" s="518"/>
      <c r="Z29" s="151"/>
      <c r="AA29" s="152"/>
      <c r="AB29" s="152"/>
      <c r="AC29" s="152"/>
      <c r="AD29" s="153"/>
      <c r="AE29" s="328"/>
      <c r="AF29" s="328"/>
      <c r="AG29" s="328"/>
      <c r="AH29" s="328"/>
      <c r="AI29" s="328"/>
      <c r="AJ29" s="328"/>
      <c r="AK29" s="328"/>
      <c r="AL29" s="328"/>
    </row>
    <row r="30" spans="1:38" x14ac:dyDescent="0.25">
      <c r="A30" s="566" t="s">
        <v>971</v>
      </c>
      <c r="B30" s="154">
        <f>+'NEW Spring CHP by DISC'!B30/15</f>
        <v>9</v>
      </c>
      <c r="C30" s="154">
        <f>+'NEW Spring CHP by DISC'!C30/15</f>
        <v>20.666666666666668</v>
      </c>
      <c r="D30" s="154">
        <f>+'NEW Spring CHP by DISC'!D30/12</f>
        <v>0</v>
      </c>
      <c r="E30" s="745">
        <f t="shared" ref="E30:E37" si="29">SUM(B30:D30)</f>
        <v>29.666666666666668</v>
      </c>
      <c r="F30" s="154">
        <f>+'NEW Spring CHP by DISC'!F30/15</f>
        <v>7.2</v>
      </c>
      <c r="G30" s="154">
        <f>+'NEW Spring CHP by DISC'!G30/15</f>
        <v>22.733333333333334</v>
      </c>
      <c r="H30" s="154">
        <f>+'NEW Spring CHP by DISC'!H30/12</f>
        <v>0</v>
      </c>
      <c r="I30" s="154">
        <f t="shared" ref="I30:I37" si="30">SUM(F30:H30)</f>
        <v>29.933333333333334</v>
      </c>
      <c r="J30" s="602">
        <f t="shared" ref="J30:J38" si="31">IF(E30&gt;0,(I30-E30)/E30,(IF(I30=0,"N/A",100%)))</f>
        <v>8.9887640449437881E-3</v>
      </c>
      <c r="K30" s="959">
        <f>+'NEW Spring CHP by DISC'!K30/15</f>
        <v>9.6</v>
      </c>
      <c r="L30" s="154">
        <f>+'NEW Spring CHP by DISC'!L30/15</f>
        <v>23.4</v>
      </c>
      <c r="M30" s="154">
        <f>+'NEW Spring CHP by DISC'!M30/12</f>
        <v>0</v>
      </c>
      <c r="N30" s="154">
        <f t="shared" ref="N30:N37" si="32">SUM(K30:M30)</f>
        <v>33</v>
      </c>
      <c r="O30" s="155">
        <f t="shared" ref="O30:O38" si="33">IF(I30&gt;0,(N30-I30)/I30,(IF(N30=0,"N/A",100%)))</f>
        <v>0.10244988864142539</v>
      </c>
      <c r="P30" s="959">
        <f>+'NEW Spring CHP by DISC'!P30/15</f>
        <v>6.4</v>
      </c>
      <c r="Q30" s="154">
        <f>+'NEW Spring CHP by DISC'!Q30/15</f>
        <v>17.733333333333334</v>
      </c>
      <c r="R30" s="154">
        <f>+'NEW Spring CHP by DISC'!R30/12</f>
        <v>0</v>
      </c>
      <c r="S30" s="154">
        <f t="shared" ref="S30:S37" si="34">SUM(P30:R30)</f>
        <v>24.133333333333333</v>
      </c>
      <c r="T30" s="155">
        <f t="shared" ref="T30:T38" si="35">IF(N30&gt;0,(S30-N30)/N30,(IF(S30=0,"N/A",100%)))</f>
        <v>-0.2686868686868687</v>
      </c>
      <c r="U30" s="154">
        <f>+'NEW Spring CHP by DISC'!U30/15</f>
        <v>7.6</v>
      </c>
      <c r="V30" s="154">
        <f>+'NEW Spring CHP by DISC'!V30/15</f>
        <v>17.333333333333332</v>
      </c>
      <c r="W30" s="154">
        <f>+'NEW Spring CHP by DISC'!W30/12</f>
        <v>0</v>
      </c>
      <c r="X30" s="154">
        <f t="shared" ref="X30:X37" si="36">SUM(U30:W30)</f>
        <v>24.93333333333333</v>
      </c>
      <c r="Y30" s="155">
        <f t="shared" ref="Y30:Y38" si="37">IF(S30&gt;0,(X30-S30)/S30,(IF(X30=0,"N/A",100%)))</f>
        <v>3.3149171270718113E-2</v>
      </c>
      <c r="Z30" s="512">
        <f>+'NEW Spring CHP by DISC'!Z30/15</f>
        <v>6.2</v>
      </c>
      <c r="AA30" s="512">
        <f>+'NEW Spring CHP by DISC'!AA30/15</f>
        <v>25.4</v>
      </c>
      <c r="AB30" s="512">
        <f>+'NEW Spring CHP by DISC'!AB30/12</f>
        <v>0</v>
      </c>
      <c r="AC30" s="512">
        <f t="shared" ref="AC30:AC37" si="38">SUM(Z30:AB30)</f>
        <v>31.599999999999998</v>
      </c>
      <c r="AD30" s="1403">
        <f t="shared" ref="AD30:AD38" si="39">IF(X30&gt;0,(AC30-X30)/X30,(IF(AC30=0,"N/A",100%)))</f>
        <v>0.2673796791443851</v>
      </c>
      <c r="AE30" s="328"/>
      <c r="AF30" s="328"/>
      <c r="AG30" s="328"/>
      <c r="AH30" s="328"/>
      <c r="AI30" s="328"/>
      <c r="AJ30" s="328"/>
      <c r="AK30" s="328"/>
      <c r="AL30" s="328"/>
    </row>
    <row r="31" spans="1:38" x14ac:dyDescent="0.25">
      <c r="A31" s="566" t="s">
        <v>972</v>
      </c>
      <c r="B31" s="154">
        <f>+'NEW Spring CHP by DISC'!B31/15</f>
        <v>52.93333333333333</v>
      </c>
      <c r="C31" s="154">
        <f>+'NEW Spring CHP by DISC'!C31/15</f>
        <v>64.63333333333334</v>
      </c>
      <c r="D31" s="154">
        <f>+'NEW Spring CHP by DISC'!D31/12</f>
        <v>9.75</v>
      </c>
      <c r="E31" s="745">
        <f t="shared" si="29"/>
        <v>127.31666666666666</v>
      </c>
      <c r="F31" s="154">
        <f>+'NEW Spring CHP by DISC'!F31/15</f>
        <v>55.466666666666669</v>
      </c>
      <c r="G31" s="154">
        <f>+'NEW Spring CHP by DISC'!G31/15</f>
        <v>71.599999999999994</v>
      </c>
      <c r="H31" s="154">
        <f>+'NEW Spring CHP by DISC'!H31/12</f>
        <v>19.25</v>
      </c>
      <c r="I31" s="154">
        <f t="shared" si="30"/>
        <v>146.31666666666666</v>
      </c>
      <c r="J31" s="602">
        <f t="shared" si="31"/>
        <v>0.14923419295719337</v>
      </c>
      <c r="K31" s="959">
        <f>+'NEW Spring CHP by DISC'!K31/15</f>
        <v>67.7</v>
      </c>
      <c r="L31" s="154">
        <f>+'NEW Spring CHP by DISC'!L31/15</f>
        <v>73.8</v>
      </c>
      <c r="M31" s="154">
        <f>+'NEW Spring CHP by DISC'!M31/12</f>
        <v>10.25</v>
      </c>
      <c r="N31" s="154">
        <f t="shared" si="32"/>
        <v>151.75</v>
      </c>
      <c r="O31" s="155">
        <f t="shared" si="33"/>
        <v>3.7134069939628686E-2</v>
      </c>
      <c r="P31" s="959">
        <f>+'NEW Spring CHP by DISC'!P31/15</f>
        <v>51.866666666666667</v>
      </c>
      <c r="Q31" s="154">
        <f>+'NEW Spring CHP by DISC'!Q31/15</f>
        <v>80.466666666666669</v>
      </c>
      <c r="R31" s="154">
        <f>+'NEW Spring CHP by DISC'!R31/12</f>
        <v>19.25</v>
      </c>
      <c r="S31" s="154">
        <f t="shared" si="34"/>
        <v>151.58333333333334</v>
      </c>
      <c r="T31" s="155">
        <f t="shared" si="35"/>
        <v>-1.0982976386600144E-3</v>
      </c>
      <c r="U31" s="154">
        <f>+'NEW Spring CHP by DISC'!U31/15</f>
        <v>53.533333333333331</v>
      </c>
      <c r="V31" s="154">
        <f>+'NEW Spring CHP by DISC'!V31/15</f>
        <v>74.266666666666666</v>
      </c>
      <c r="W31" s="154">
        <f>+'NEW Spring CHP by DISC'!W31/12</f>
        <v>12.75</v>
      </c>
      <c r="X31" s="154">
        <f t="shared" si="36"/>
        <v>140.55000000000001</v>
      </c>
      <c r="Y31" s="155">
        <f t="shared" si="37"/>
        <v>-7.278724573941725E-2</v>
      </c>
      <c r="Z31" s="512">
        <f>+'NEW Spring CHP by DISC'!Z31/15</f>
        <v>53.033333333333331</v>
      </c>
      <c r="AA31" s="512">
        <f>+'NEW Spring CHP by DISC'!AA31/15</f>
        <v>67.666666666666671</v>
      </c>
      <c r="AB31" s="512">
        <f>+'NEW Spring CHP by DISC'!AB31/12</f>
        <v>21.5</v>
      </c>
      <c r="AC31" s="512">
        <f t="shared" si="38"/>
        <v>142.19999999999999</v>
      </c>
      <c r="AD31" s="1403">
        <f t="shared" si="39"/>
        <v>1.173959445037337E-2</v>
      </c>
      <c r="AE31" s="328"/>
      <c r="AF31" s="328"/>
      <c r="AG31" s="328"/>
      <c r="AH31" s="328"/>
      <c r="AI31" s="328"/>
      <c r="AJ31" s="328"/>
      <c r="AK31" s="328"/>
      <c r="AL31" s="328"/>
    </row>
    <row r="32" spans="1:38" x14ac:dyDescent="0.25">
      <c r="A32" s="566" t="s">
        <v>973</v>
      </c>
      <c r="B32" s="154">
        <f>+'NEW Spring CHP by DISC'!B32/15</f>
        <v>0</v>
      </c>
      <c r="C32" s="154">
        <f>+'NEW Spring CHP by DISC'!C32/15</f>
        <v>0</v>
      </c>
      <c r="D32" s="154">
        <f>+'NEW Spring CHP by DISC'!D32/12</f>
        <v>2.75</v>
      </c>
      <c r="E32" s="745">
        <f t="shared" si="29"/>
        <v>2.75</v>
      </c>
      <c r="F32" s="154">
        <f>+'NEW Spring CHP by DISC'!F32/15</f>
        <v>0</v>
      </c>
      <c r="G32" s="154">
        <f>+'NEW Spring CHP by DISC'!G32/15</f>
        <v>0</v>
      </c>
      <c r="H32" s="154">
        <f>+'NEW Spring CHP by DISC'!H32/12</f>
        <v>6.25</v>
      </c>
      <c r="I32" s="154">
        <f t="shared" si="30"/>
        <v>6.25</v>
      </c>
      <c r="J32" s="602">
        <f t="shared" si="31"/>
        <v>1.2727272727272727</v>
      </c>
      <c r="K32" s="959">
        <f>+'NEW Spring CHP by DISC'!K32/15</f>
        <v>0</v>
      </c>
      <c r="L32" s="154">
        <f>+'NEW Spring CHP by DISC'!L32/15</f>
        <v>0</v>
      </c>
      <c r="M32" s="154">
        <f>+'NEW Spring CHP by DISC'!M32/12</f>
        <v>0</v>
      </c>
      <c r="N32" s="154">
        <f t="shared" si="32"/>
        <v>0</v>
      </c>
      <c r="O32" s="155">
        <f t="shared" si="33"/>
        <v>-1</v>
      </c>
      <c r="P32" s="959">
        <f>+'NEW Spring CHP by DISC'!P32/15</f>
        <v>0</v>
      </c>
      <c r="Q32" s="154">
        <f>+'NEW Spring CHP by DISC'!Q32/15</f>
        <v>0</v>
      </c>
      <c r="R32" s="154">
        <f>+'NEW Spring CHP by DISC'!R32/12</f>
        <v>0</v>
      </c>
      <c r="S32" s="154">
        <f t="shared" si="34"/>
        <v>0</v>
      </c>
      <c r="T32" s="155" t="str">
        <f t="shared" si="35"/>
        <v>N/A</v>
      </c>
      <c r="U32" s="154">
        <f>+'NEW Spring CHP by DISC'!U32/15</f>
        <v>0</v>
      </c>
      <c r="V32" s="154">
        <f>+'NEW Spring CHP by DISC'!V32/15</f>
        <v>0</v>
      </c>
      <c r="W32" s="154">
        <f>+'NEW Spring CHP by DISC'!W32/12</f>
        <v>0</v>
      </c>
      <c r="X32" s="154">
        <f t="shared" si="36"/>
        <v>0</v>
      </c>
      <c r="Y32" s="155" t="str">
        <f t="shared" si="37"/>
        <v>N/A</v>
      </c>
      <c r="Z32" s="512">
        <f>+'NEW Spring CHP by DISC'!Z32/15</f>
        <v>0</v>
      </c>
      <c r="AA32" s="512">
        <f>+'NEW Spring CHP by DISC'!AA32/15</f>
        <v>0</v>
      </c>
      <c r="AB32" s="512">
        <f>+'NEW Spring CHP by DISC'!AB32/12</f>
        <v>0</v>
      </c>
      <c r="AC32" s="512">
        <f t="shared" si="38"/>
        <v>0</v>
      </c>
      <c r="AD32" s="1403" t="str">
        <f t="shared" si="39"/>
        <v>N/A</v>
      </c>
      <c r="AE32" s="328"/>
      <c r="AF32" s="328"/>
      <c r="AG32" s="328"/>
      <c r="AH32" s="328"/>
      <c r="AI32" s="328"/>
      <c r="AJ32" s="328"/>
      <c r="AK32" s="328"/>
      <c r="AL32" s="328"/>
    </row>
    <row r="33" spans="1:38" x14ac:dyDescent="0.25">
      <c r="A33" s="979" t="s">
        <v>1405</v>
      </c>
      <c r="B33" s="154">
        <f>+'NEW Spring CHP by DISC'!B33/15</f>
        <v>0</v>
      </c>
      <c r="C33" s="154">
        <f>+'NEW Spring CHP by DISC'!C33/15</f>
        <v>0</v>
      </c>
      <c r="D33" s="154">
        <f>+'NEW Spring CHP by DISC'!D33/12</f>
        <v>0</v>
      </c>
      <c r="E33" s="745">
        <f>SUM(B33:D33)</f>
        <v>0</v>
      </c>
      <c r="F33" s="154">
        <f>+'NEW Spring CHP by DISC'!F33/15</f>
        <v>0</v>
      </c>
      <c r="G33" s="154">
        <f>+'NEW Spring CHP by DISC'!G33/15</f>
        <v>0</v>
      </c>
      <c r="H33" s="154">
        <f>+'NEW Spring CHP by DISC'!H33/12</f>
        <v>0</v>
      </c>
      <c r="I33" s="154">
        <f>SUM(F33:H33)</f>
        <v>0</v>
      </c>
      <c r="J33" s="602" t="str">
        <f>IF(E33&gt;0,(I33-E33)/E33,(IF(I33=0,"N/A",100%)))</f>
        <v>N/A</v>
      </c>
      <c r="K33" s="959">
        <f>+'NEW Spring CHP by DISC'!K33/15</f>
        <v>0</v>
      </c>
      <c r="L33" s="154">
        <f>+'NEW Spring CHP by DISC'!L33/15</f>
        <v>0</v>
      </c>
      <c r="M33" s="154">
        <f>+'NEW Spring CHP by DISC'!M33/12</f>
        <v>0</v>
      </c>
      <c r="N33" s="154">
        <f>SUM(K33:M33)</f>
        <v>0</v>
      </c>
      <c r="O33" s="155" t="str">
        <f>IF(I33&gt;0,(N33-I33)/I33,(IF(N33=0,"N/A",100%)))</f>
        <v>N/A</v>
      </c>
      <c r="P33" s="959">
        <f>+'NEW Spring CHP by DISC'!P33/15</f>
        <v>0</v>
      </c>
      <c r="Q33" s="154">
        <f>+'NEW Spring CHP by DISC'!Q33/15</f>
        <v>0</v>
      </c>
      <c r="R33" s="154">
        <f>+'NEW Spring CHP by DISC'!R33/12</f>
        <v>0</v>
      </c>
      <c r="S33" s="154">
        <f t="shared" si="34"/>
        <v>0</v>
      </c>
      <c r="T33" s="155" t="str">
        <f t="shared" si="35"/>
        <v>N/A</v>
      </c>
      <c r="U33" s="154">
        <f>+'NEW Spring CHP by DISC'!U33/15</f>
        <v>0</v>
      </c>
      <c r="V33" s="154">
        <f>+'NEW Spring CHP by DISC'!V33/15</f>
        <v>0</v>
      </c>
      <c r="W33" s="154">
        <f>+'NEW Spring CHP by DISC'!W33/12</f>
        <v>0</v>
      </c>
      <c r="X33" s="154">
        <f t="shared" si="36"/>
        <v>0</v>
      </c>
      <c r="Y33" s="155" t="str">
        <f t="shared" si="37"/>
        <v>N/A</v>
      </c>
      <c r="Z33" s="512">
        <f>+'NEW Spring CHP by DISC'!Z33/15</f>
        <v>0</v>
      </c>
      <c r="AA33" s="512">
        <f>+'NEW Spring CHP by DISC'!AA33/15</f>
        <v>0</v>
      </c>
      <c r="AB33" s="512">
        <f>+'NEW Spring CHP by DISC'!AB33/12</f>
        <v>0</v>
      </c>
      <c r="AC33" s="512">
        <f t="shared" si="38"/>
        <v>0</v>
      </c>
      <c r="AD33" s="1403" t="str">
        <f t="shared" si="39"/>
        <v>N/A</v>
      </c>
      <c r="AE33" s="328"/>
      <c r="AF33" s="328"/>
      <c r="AG33" s="328"/>
      <c r="AH33" s="328"/>
      <c r="AI33" s="328"/>
      <c r="AJ33" s="328"/>
      <c r="AK33" s="328"/>
      <c r="AL33" s="328"/>
    </row>
    <row r="34" spans="1:38" x14ac:dyDescent="0.25">
      <c r="A34" s="979" t="s">
        <v>1406</v>
      </c>
      <c r="B34" s="154">
        <f>+'NEW Spring CHP by DISC'!B34/15</f>
        <v>0</v>
      </c>
      <c r="C34" s="154">
        <f>+'NEW Spring CHP by DISC'!C34/15</f>
        <v>0</v>
      </c>
      <c r="D34" s="154">
        <f>+'NEW Spring CHP by DISC'!D34/12</f>
        <v>0</v>
      </c>
      <c r="E34" s="745">
        <f>SUM(B34:D34)</f>
        <v>0</v>
      </c>
      <c r="F34" s="154">
        <f>+'NEW Spring CHP by DISC'!F34/15</f>
        <v>0</v>
      </c>
      <c r="G34" s="154">
        <f>+'NEW Spring CHP by DISC'!G34/15</f>
        <v>0</v>
      </c>
      <c r="H34" s="154">
        <f>+'NEW Spring CHP by DISC'!H34/12</f>
        <v>0</v>
      </c>
      <c r="I34" s="154">
        <f>SUM(F34:H34)</f>
        <v>0</v>
      </c>
      <c r="J34" s="602" t="str">
        <f>IF(E34&gt;0,(I34-E34)/E34,(IF(I34=0,"N/A",100%)))</f>
        <v>N/A</v>
      </c>
      <c r="K34" s="959">
        <f>+'NEW Spring CHP by DISC'!K34/15</f>
        <v>0</v>
      </c>
      <c r="L34" s="154">
        <f>+'NEW Spring CHP by DISC'!L34/15</f>
        <v>0</v>
      </c>
      <c r="M34" s="154">
        <f>+'NEW Spring CHP by DISC'!M34/12</f>
        <v>0</v>
      </c>
      <c r="N34" s="154">
        <f>SUM(K34:M34)</f>
        <v>0</v>
      </c>
      <c r="O34" s="155" t="str">
        <f>IF(I34&gt;0,(N34-I34)/I34,(IF(N34=0,"N/A",100%)))</f>
        <v>N/A</v>
      </c>
      <c r="P34" s="959">
        <f>+'NEW Spring CHP by DISC'!P34/15</f>
        <v>0</v>
      </c>
      <c r="Q34" s="154">
        <f>+'NEW Spring CHP by DISC'!Q34/15</f>
        <v>0</v>
      </c>
      <c r="R34" s="154">
        <f>+'NEW Spring CHP by DISC'!R34/12</f>
        <v>0</v>
      </c>
      <c r="S34" s="154">
        <f t="shared" si="34"/>
        <v>0</v>
      </c>
      <c r="T34" s="155" t="str">
        <f t="shared" si="35"/>
        <v>N/A</v>
      </c>
      <c r="U34" s="154">
        <f>+'NEW Spring CHP by DISC'!U34/15</f>
        <v>0</v>
      </c>
      <c r="V34" s="154">
        <f>+'NEW Spring CHP by DISC'!V34/15</f>
        <v>0</v>
      </c>
      <c r="W34" s="154">
        <f>+'NEW Spring CHP by DISC'!W34/12</f>
        <v>0</v>
      </c>
      <c r="X34" s="154">
        <f t="shared" si="36"/>
        <v>0</v>
      </c>
      <c r="Y34" s="155" t="str">
        <f t="shared" si="37"/>
        <v>N/A</v>
      </c>
      <c r="Z34" s="512">
        <f>+'NEW Spring CHP by DISC'!Z34/15</f>
        <v>0</v>
      </c>
      <c r="AA34" s="512">
        <f>+'NEW Spring CHP by DISC'!AA34/15</f>
        <v>0</v>
      </c>
      <c r="AB34" s="512">
        <f>+'NEW Spring CHP by DISC'!AB34/12</f>
        <v>0</v>
      </c>
      <c r="AC34" s="512">
        <f t="shared" si="38"/>
        <v>0</v>
      </c>
      <c r="AD34" s="1403" t="str">
        <f t="shared" si="39"/>
        <v>N/A</v>
      </c>
      <c r="AE34" s="328"/>
      <c r="AF34" s="328"/>
      <c r="AG34" s="328"/>
      <c r="AH34" s="328"/>
      <c r="AI34" s="328"/>
      <c r="AJ34" s="328"/>
      <c r="AK34" s="328"/>
      <c r="AL34" s="328"/>
    </row>
    <row r="35" spans="1:38" x14ac:dyDescent="0.25">
      <c r="A35" s="566" t="s">
        <v>1097</v>
      </c>
      <c r="B35" s="154">
        <f>+'NEW Spring CHP by DISC'!B35/15</f>
        <v>0</v>
      </c>
      <c r="C35" s="154">
        <f>+'NEW Spring CHP by DISC'!C35/15</f>
        <v>3.4</v>
      </c>
      <c r="D35" s="154">
        <f>+'NEW Spring CHP by DISC'!D35/12</f>
        <v>17.75</v>
      </c>
      <c r="E35" s="745">
        <f t="shared" si="29"/>
        <v>21.15</v>
      </c>
      <c r="F35" s="154">
        <f>+'NEW Spring CHP by DISC'!F35/15</f>
        <v>0</v>
      </c>
      <c r="G35" s="154">
        <f>+'NEW Spring CHP by DISC'!G35/15</f>
        <v>5.8</v>
      </c>
      <c r="H35" s="154">
        <f>+'NEW Spring CHP by DISC'!H35/12</f>
        <v>13.25</v>
      </c>
      <c r="I35" s="154">
        <f t="shared" si="30"/>
        <v>19.05</v>
      </c>
      <c r="J35" s="602">
        <f>IF(E35&gt;0,(I35-E35)/E35,(IF(I35=0,"N/A",100%)))</f>
        <v>-9.9290780141843879E-2</v>
      </c>
      <c r="K35" s="959">
        <f>+'NEW Spring CHP by DISC'!K35/15</f>
        <v>0</v>
      </c>
      <c r="L35" s="154">
        <f>+'NEW Spring CHP by DISC'!L35/15</f>
        <v>4</v>
      </c>
      <c r="M35" s="154">
        <f>+'NEW Spring CHP by DISC'!M35/12</f>
        <v>16.75</v>
      </c>
      <c r="N35" s="154">
        <f t="shared" si="32"/>
        <v>20.75</v>
      </c>
      <c r="O35" s="155">
        <f>IF(I35&gt;0,(N35-I35)/I35,(IF(N35=0,"N/A",100%)))</f>
        <v>8.9238845144356913E-2</v>
      </c>
      <c r="P35" s="959">
        <f>+'NEW Spring CHP by DISC'!P35/15</f>
        <v>0</v>
      </c>
      <c r="Q35" s="154">
        <f>+'NEW Spring CHP by DISC'!Q35/15</f>
        <v>3.8</v>
      </c>
      <c r="R35" s="154">
        <f>+'NEW Spring CHP by DISC'!R35/12</f>
        <v>15.25</v>
      </c>
      <c r="S35" s="154">
        <f t="shared" si="34"/>
        <v>19.05</v>
      </c>
      <c r="T35" s="155">
        <f t="shared" si="35"/>
        <v>-8.1927710843373455E-2</v>
      </c>
      <c r="U35" s="154">
        <f>+'NEW Spring CHP by DISC'!U35/15</f>
        <v>0</v>
      </c>
      <c r="V35" s="154">
        <f>+'NEW Spring CHP by DISC'!V35/15</f>
        <v>4.2</v>
      </c>
      <c r="W35" s="154">
        <f>+'NEW Spring CHP by DISC'!W35/12</f>
        <v>17.25</v>
      </c>
      <c r="X35" s="154">
        <f t="shared" si="36"/>
        <v>21.45</v>
      </c>
      <c r="Y35" s="155">
        <f t="shared" si="37"/>
        <v>0.12598425196850385</v>
      </c>
      <c r="Z35" s="512">
        <f>+'NEW Spring CHP by DISC'!Z35/15</f>
        <v>0</v>
      </c>
      <c r="AA35" s="512">
        <f>+'NEW Spring CHP by DISC'!AA35/15</f>
        <v>5.8</v>
      </c>
      <c r="AB35" s="512">
        <f>+'NEW Spring CHP by DISC'!AB35/12</f>
        <v>15</v>
      </c>
      <c r="AC35" s="512">
        <f t="shared" si="38"/>
        <v>20.8</v>
      </c>
      <c r="AD35" s="1403">
        <f t="shared" si="39"/>
        <v>-3.0303030303030238E-2</v>
      </c>
      <c r="AE35" s="328"/>
      <c r="AF35" s="328"/>
      <c r="AG35" s="328"/>
      <c r="AH35" s="328"/>
      <c r="AI35" s="328"/>
      <c r="AJ35" s="328"/>
      <c r="AK35" s="328"/>
      <c r="AL35" s="328"/>
    </row>
    <row r="36" spans="1:38" x14ac:dyDescent="0.25">
      <c r="A36" s="566" t="s">
        <v>974</v>
      </c>
      <c r="B36" s="154">
        <f>+'NEW Spring CHP by DISC'!B36/15</f>
        <v>11.6</v>
      </c>
      <c r="C36" s="154">
        <f>+'NEW Spring CHP by DISC'!C36/15</f>
        <v>11.666666666666666</v>
      </c>
      <c r="D36" s="154">
        <f>+'NEW Spring CHP by DISC'!D36/12</f>
        <v>0</v>
      </c>
      <c r="E36" s="745">
        <f t="shared" si="29"/>
        <v>23.266666666666666</v>
      </c>
      <c r="F36" s="154">
        <f>+'NEW Spring CHP by DISC'!F36/15</f>
        <v>9.4</v>
      </c>
      <c r="G36" s="154">
        <f>+'NEW Spring CHP by DISC'!G36/15</f>
        <v>3.2666666666666666</v>
      </c>
      <c r="H36" s="154">
        <f>+'NEW Spring CHP by DISC'!H36/12</f>
        <v>0</v>
      </c>
      <c r="I36" s="154">
        <f t="shared" si="30"/>
        <v>12.666666666666668</v>
      </c>
      <c r="J36" s="602">
        <f t="shared" si="31"/>
        <v>-0.45558739255014319</v>
      </c>
      <c r="K36" s="959">
        <f>+'NEW Spring CHP by DISC'!K36/15</f>
        <v>13</v>
      </c>
      <c r="L36" s="154">
        <f>+'NEW Spring CHP by DISC'!L36/15</f>
        <v>7.0666666666666664</v>
      </c>
      <c r="M36" s="154">
        <f>+'NEW Spring CHP by DISC'!M36/12</f>
        <v>0</v>
      </c>
      <c r="N36" s="154">
        <f t="shared" si="32"/>
        <v>20.066666666666666</v>
      </c>
      <c r="O36" s="155">
        <f t="shared" si="33"/>
        <v>0.58421052631578929</v>
      </c>
      <c r="P36" s="959">
        <f>+'NEW Spring CHP by DISC'!P36/15</f>
        <v>10.6</v>
      </c>
      <c r="Q36" s="154">
        <f>+'NEW Spring CHP by DISC'!Q36/15</f>
        <v>7.8</v>
      </c>
      <c r="R36" s="154">
        <f>+'NEW Spring CHP by DISC'!R36/12</f>
        <v>0</v>
      </c>
      <c r="S36" s="154">
        <f t="shared" si="34"/>
        <v>18.399999999999999</v>
      </c>
      <c r="T36" s="155">
        <f t="shared" si="35"/>
        <v>-8.3056478405315673E-2</v>
      </c>
      <c r="U36" s="154">
        <f>+'NEW Spring CHP by DISC'!U36/15</f>
        <v>16.2</v>
      </c>
      <c r="V36" s="154">
        <f>+'NEW Spring CHP by DISC'!V36/15</f>
        <v>9.9333333333333336</v>
      </c>
      <c r="W36" s="154">
        <f>+'NEW Spring CHP by DISC'!W36/12</f>
        <v>0</v>
      </c>
      <c r="X36" s="154">
        <f t="shared" si="36"/>
        <v>26.133333333333333</v>
      </c>
      <c r="Y36" s="155">
        <f t="shared" si="37"/>
        <v>0.42028985507246386</v>
      </c>
      <c r="Z36" s="512">
        <f>+'NEW Spring CHP by DISC'!Z36/15</f>
        <v>13.8</v>
      </c>
      <c r="AA36" s="512">
        <f>+'NEW Spring CHP by DISC'!AA36/15</f>
        <v>6.8</v>
      </c>
      <c r="AB36" s="512">
        <f>+'NEW Spring CHP by DISC'!AB36/12</f>
        <v>0</v>
      </c>
      <c r="AC36" s="512">
        <f t="shared" si="38"/>
        <v>20.6</v>
      </c>
      <c r="AD36" s="1403">
        <f t="shared" si="39"/>
        <v>-0.21173469387755095</v>
      </c>
      <c r="AE36" s="328"/>
      <c r="AF36" s="328"/>
      <c r="AG36" s="328"/>
      <c r="AH36" s="328"/>
      <c r="AI36" s="328"/>
      <c r="AJ36" s="328"/>
      <c r="AK36" s="328"/>
      <c r="AL36" s="328"/>
    </row>
    <row r="37" spans="1:38" x14ac:dyDescent="0.25">
      <c r="A37" s="566" t="s">
        <v>975</v>
      </c>
      <c r="B37" s="154">
        <f>+'NEW Spring CHP by DISC'!B37/15</f>
        <v>0.6</v>
      </c>
      <c r="C37" s="154">
        <f>+'NEW Spring CHP by DISC'!C37/15</f>
        <v>0</v>
      </c>
      <c r="D37" s="154">
        <f>+'NEW Spring CHP by DISC'!D37/12</f>
        <v>0</v>
      </c>
      <c r="E37" s="745">
        <f t="shared" si="29"/>
        <v>0.6</v>
      </c>
      <c r="F37" s="154">
        <f>+'NEW Spring CHP by DISC'!F37/15</f>
        <v>1.2</v>
      </c>
      <c r="G37" s="154">
        <f>+'NEW Spring CHP by DISC'!G37/15</f>
        <v>1.3333333333333333</v>
      </c>
      <c r="H37" s="154">
        <f>+'NEW Spring CHP by DISC'!H37/12</f>
        <v>0</v>
      </c>
      <c r="I37" s="154">
        <f t="shared" si="30"/>
        <v>2.5333333333333332</v>
      </c>
      <c r="J37" s="602">
        <f t="shared" si="31"/>
        <v>3.2222222222222219</v>
      </c>
      <c r="K37" s="959">
        <f>+'NEW Spring CHP by DISC'!K37/15</f>
        <v>0.66666666666666663</v>
      </c>
      <c r="L37" s="154">
        <f>+'NEW Spring CHP by DISC'!L37/15</f>
        <v>0.93333333333333335</v>
      </c>
      <c r="M37" s="154">
        <f>+'NEW Spring CHP by DISC'!M37/12</f>
        <v>0</v>
      </c>
      <c r="N37" s="154">
        <f t="shared" si="32"/>
        <v>1.6</v>
      </c>
      <c r="O37" s="155">
        <f t="shared" si="33"/>
        <v>-0.36842105263157887</v>
      </c>
      <c r="P37" s="959">
        <f>+'NEW Spring CHP by DISC'!P37/15</f>
        <v>1.0666666666666667</v>
      </c>
      <c r="Q37" s="154">
        <f>+'NEW Spring CHP by DISC'!Q37/15</f>
        <v>1</v>
      </c>
      <c r="R37" s="154">
        <f>+'NEW Spring CHP by DISC'!R37/12</f>
        <v>0</v>
      </c>
      <c r="S37" s="154">
        <f t="shared" si="34"/>
        <v>2.0666666666666664</v>
      </c>
      <c r="T37" s="155">
        <f t="shared" si="35"/>
        <v>0.29166666666666646</v>
      </c>
      <c r="U37" s="154">
        <f>+'NEW Spring CHP by DISC'!U37/15</f>
        <v>1.4</v>
      </c>
      <c r="V37" s="154">
        <f>+'NEW Spring CHP by DISC'!V37/15</f>
        <v>0.8</v>
      </c>
      <c r="W37" s="154">
        <f>+'NEW Spring CHP by DISC'!W37/12</f>
        <v>0</v>
      </c>
      <c r="X37" s="154">
        <f t="shared" si="36"/>
        <v>2.2000000000000002</v>
      </c>
      <c r="Y37" s="155">
        <f t="shared" si="37"/>
        <v>6.4516129032258271E-2</v>
      </c>
      <c r="Z37" s="512">
        <f>+'NEW Spring CHP by DISC'!Z37/15</f>
        <v>1.6</v>
      </c>
      <c r="AA37" s="512">
        <f>+'NEW Spring CHP by DISC'!AA37/15</f>
        <v>1</v>
      </c>
      <c r="AB37" s="512">
        <f>+'NEW Spring CHP by DISC'!AB37/12</f>
        <v>0</v>
      </c>
      <c r="AC37" s="512">
        <f t="shared" si="38"/>
        <v>2.6</v>
      </c>
      <c r="AD37" s="1403">
        <f t="shared" si="39"/>
        <v>0.18181818181818177</v>
      </c>
      <c r="AE37" s="328"/>
      <c r="AF37" s="328"/>
      <c r="AG37" s="328"/>
      <c r="AH37" s="328"/>
      <c r="AI37" s="328"/>
      <c r="AJ37" s="328"/>
      <c r="AK37" s="328"/>
      <c r="AL37" s="328"/>
    </row>
    <row r="38" spans="1:38" s="575" customFormat="1" ht="13.8" x14ac:dyDescent="0.25">
      <c r="A38" s="641" t="s">
        <v>961</v>
      </c>
      <c r="B38" s="586">
        <f t="shared" ref="B38:I38" si="40">SUM(B30:B37)</f>
        <v>74.133333333333326</v>
      </c>
      <c r="C38" s="586">
        <f t="shared" si="40"/>
        <v>100.36666666666669</v>
      </c>
      <c r="D38" s="586">
        <f t="shared" si="40"/>
        <v>30.25</v>
      </c>
      <c r="E38" s="587">
        <f t="shared" si="40"/>
        <v>204.74999999999997</v>
      </c>
      <c r="F38" s="585">
        <f t="shared" si="40"/>
        <v>73.26666666666668</v>
      </c>
      <c r="G38" s="586">
        <f t="shared" si="40"/>
        <v>104.73333333333332</v>
      </c>
      <c r="H38" s="586">
        <f t="shared" si="40"/>
        <v>38.75</v>
      </c>
      <c r="I38" s="586">
        <f t="shared" si="40"/>
        <v>216.75</v>
      </c>
      <c r="J38" s="588">
        <f t="shared" si="31"/>
        <v>5.8608058608058754E-2</v>
      </c>
      <c r="K38" s="1219">
        <f>SUM(K30:K37)</f>
        <v>90.966666666666669</v>
      </c>
      <c r="L38" s="586">
        <f>SUM(L30:L37)</f>
        <v>109.19999999999999</v>
      </c>
      <c r="M38" s="586">
        <f>SUM(M30:M37)</f>
        <v>27</v>
      </c>
      <c r="N38" s="586">
        <f>SUM(N30:N37)</f>
        <v>227.16666666666666</v>
      </c>
      <c r="O38" s="613">
        <f t="shared" si="33"/>
        <v>4.8058439061899223E-2</v>
      </c>
      <c r="P38" s="1219">
        <f>SUM(P30:P37)</f>
        <v>69.933333333333323</v>
      </c>
      <c r="Q38" s="586">
        <f>SUM(Q30:Q37)</f>
        <v>110.8</v>
      </c>
      <c r="R38" s="586">
        <f>SUM(R30:R37)</f>
        <v>34.5</v>
      </c>
      <c r="S38" s="586">
        <f>SUM(S30:S37)</f>
        <v>215.23333333333335</v>
      </c>
      <c r="T38" s="613">
        <f t="shared" si="35"/>
        <v>-5.2531181217901582E-2</v>
      </c>
      <c r="U38" s="585">
        <f>SUM(U30:U37)</f>
        <v>78.733333333333334</v>
      </c>
      <c r="V38" s="586">
        <f>SUM(V30:V37)</f>
        <v>106.53333333333333</v>
      </c>
      <c r="W38" s="586">
        <f>SUM(W30:W37)</f>
        <v>30</v>
      </c>
      <c r="X38" s="586">
        <f>SUM(X30:X37)</f>
        <v>215.26666666666665</v>
      </c>
      <c r="Y38" s="613">
        <f t="shared" si="37"/>
        <v>1.5487068297957108E-4</v>
      </c>
      <c r="Z38" s="1406">
        <f>SUM(Z30:Z37)</f>
        <v>74.633333333333326</v>
      </c>
      <c r="AA38" s="1407">
        <f>SUM(AA30:AA37)</f>
        <v>106.66666666666666</v>
      </c>
      <c r="AB38" s="1407">
        <f>SUM(AB30:AB37)</f>
        <v>36.5</v>
      </c>
      <c r="AC38" s="1407">
        <f>SUM(AC30:AC37)</f>
        <v>217.79999999999998</v>
      </c>
      <c r="AD38" s="1405">
        <f t="shared" si="39"/>
        <v>1.1768349334159175E-2</v>
      </c>
    </row>
    <row r="39" spans="1:38" x14ac:dyDescent="0.25">
      <c r="A39" s="576" t="s">
        <v>427</v>
      </c>
      <c r="B39" s="577"/>
      <c r="C39" s="578"/>
      <c r="D39" s="578"/>
      <c r="E39" s="518"/>
      <c r="F39" s="605"/>
      <c r="G39" s="578"/>
      <c r="H39" s="578"/>
      <c r="I39" s="578"/>
      <c r="J39" s="518"/>
      <c r="K39" s="1256"/>
      <c r="L39" s="578"/>
      <c r="M39" s="578"/>
      <c r="N39" s="578"/>
      <c r="O39" s="518"/>
      <c r="P39" s="1256"/>
      <c r="Q39" s="578"/>
      <c r="R39" s="578"/>
      <c r="S39" s="578"/>
      <c r="T39" s="518"/>
      <c r="U39" s="605"/>
      <c r="V39" s="578"/>
      <c r="W39" s="578"/>
      <c r="X39" s="578"/>
      <c r="Y39" s="518"/>
      <c r="Z39" s="605"/>
      <c r="AA39" s="578"/>
      <c r="AB39" s="578"/>
      <c r="AC39" s="578"/>
      <c r="AD39" s="518"/>
      <c r="AE39" s="328"/>
      <c r="AF39" s="328"/>
      <c r="AG39" s="328"/>
      <c r="AH39" s="328"/>
      <c r="AI39" s="328"/>
      <c r="AJ39" s="328"/>
      <c r="AK39" s="328"/>
      <c r="AL39" s="328"/>
    </row>
    <row r="40" spans="1:38" x14ac:dyDescent="0.25">
      <c r="A40" s="603" t="s">
        <v>1005</v>
      </c>
      <c r="B40" s="154">
        <f>+'NEW Spring CHP by DISC'!B40/15</f>
        <v>117.06666666666666</v>
      </c>
      <c r="C40" s="154">
        <f>+'NEW Spring CHP by DISC'!C40/15</f>
        <v>48.333333333333336</v>
      </c>
      <c r="D40" s="154">
        <f>+'NEW Spring CHP by DISC'!D40/12</f>
        <v>0</v>
      </c>
      <c r="E40" s="375">
        <f>SUM(B40:D40)</f>
        <v>165.4</v>
      </c>
      <c r="F40" s="154">
        <f>+'NEW Spring CHP by DISC'!F40/15</f>
        <v>133.26666666666668</v>
      </c>
      <c r="G40" s="154">
        <f>+'NEW Spring CHP by DISC'!G40/15</f>
        <v>56.733333333333334</v>
      </c>
      <c r="H40" s="154">
        <f>+'NEW Spring CHP by DISC'!H40/12</f>
        <v>0</v>
      </c>
      <c r="I40" s="581">
        <f>SUM(F40:H40)</f>
        <v>190</v>
      </c>
      <c r="J40" s="582">
        <f>IF(E40&gt;0,(I40-E40)/E40,(IF(I40=0,"N/A",100%)))</f>
        <v>0.14873035066505438</v>
      </c>
      <c r="K40" s="959">
        <f>+'NEW Spring CHP by DISC'!K40/15</f>
        <v>126.26666666666667</v>
      </c>
      <c r="L40" s="154">
        <f>+'NEW Spring CHP by DISC'!L40/15</f>
        <v>62.6</v>
      </c>
      <c r="M40" s="154">
        <f>+'NEW Spring CHP by DISC'!M40/12</f>
        <v>0</v>
      </c>
      <c r="N40" s="581">
        <f>SUM(K40:M40)</f>
        <v>188.86666666666667</v>
      </c>
      <c r="O40" s="155">
        <f>IF(I40&gt;0,(N40-I40)/I40,(IF(N40=0,"N/A",100%)))</f>
        <v>-5.9649122807017146E-3</v>
      </c>
      <c r="P40" s="959">
        <f>+'NEW Spring CHP by DISC'!P40/15</f>
        <v>140.73333333333332</v>
      </c>
      <c r="Q40" s="154">
        <f>+'NEW Spring CHP by DISC'!Q40/15</f>
        <v>74.666666666666671</v>
      </c>
      <c r="R40" s="154">
        <f>+'NEW Spring CHP by DISC'!R40/12</f>
        <v>0</v>
      </c>
      <c r="S40" s="581">
        <f>SUM(P40:R40)</f>
        <v>215.39999999999998</v>
      </c>
      <c r="T40" s="155">
        <f>IF(N40&gt;0,(S40-N40)/N40,(IF(S40=0,"N/A",100%)))</f>
        <v>0.1404871161313094</v>
      </c>
      <c r="U40" s="154">
        <f>+'NEW Spring CHP by DISC'!U40/15</f>
        <v>127.46666666666667</v>
      </c>
      <c r="V40" s="154">
        <f>+'NEW Spring CHP by DISC'!V40/15</f>
        <v>69.400000000000006</v>
      </c>
      <c r="W40" s="154">
        <f>+'NEW Spring CHP by DISC'!W40/12</f>
        <v>0.25</v>
      </c>
      <c r="X40" s="581">
        <f>SUM(U40:W40)</f>
        <v>197.11666666666667</v>
      </c>
      <c r="Y40" s="155">
        <f>IF(S40&gt;0,(X40-S40)/S40,(IF(X40=0,"N/A",100%)))</f>
        <v>-8.4880841844630017E-2</v>
      </c>
      <c r="Z40" s="512">
        <f>+'NEW Spring CHP by DISC'!Z40/15</f>
        <v>132.46666666666667</v>
      </c>
      <c r="AA40" s="512">
        <f>+'NEW Spring CHP by DISC'!AA40/15</f>
        <v>72.13333333333334</v>
      </c>
      <c r="AB40" s="512">
        <f>+'NEW Spring CHP by DISC'!AB40/12</f>
        <v>0.5</v>
      </c>
      <c r="AC40" s="1111">
        <f>SUM(Z40:AB40)</f>
        <v>205.10000000000002</v>
      </c>
      <c r="AD40" s="1403">
        <f>IF(X40&gt;0,(AC40-X40)/X40,(IF(AC40=0,"N/A",100%)))</f>
        <v>4.0500549589921442E-2</v>
      </c>
      <c r="AE40" s="328"/>
      <c r="AF40" s="328"/>
      <c r="AG40" s="328"/>
      <c r="AH40" s="328"/>
      <c r="AI40" s="328"/>
      <c r="AJ40" s="328"/>
      <c r="AK40" s="328"/>
      <c r="AL40" s="328"/>
    </row>
    <row r="41" spans="1:38" x14ac:dyDescent="0.25">
      <c r="A41" s="576" t="s">
        <v>417</v>
      </c>
      <c r="B41" s="577"/>
      <c r="C41" s="578"/>
      <c r="D41" s="578"/>
      <c r="E41" s="518"/>
      <c r="F41" s="605"/>
      <c r="G41" s="578"/>
      <c r="H41" s="578"/>
      <c r="I41" s="578"/>
      <c r="J41" s="518"/>
      <c r="K41" s="1256"/>
      <c r="L41" s="578"/>
      <c r="M41" s="578"/>
      <c r="N41" s="578"/>
      <c r="O41" s="518"/>
      <c r="P41" s="1256"/>
      <c r="Q41" s="578"/>
      <c r="R41" s="578"/>
      <c r="S41" s="578"/>
      <c r="T41" s="518"/>
      <c r="U41" s="605"/>
      <c r="V41" s="578"/>
      <c r="W41" s="578"/>
      <c r="X41" s="578"/>
      <c r="Y41" s="518"/>
      <c r="Z41" s="605"/>
      <c r="AA41" s="578"/>
      <c r="AB41" s="578"/>
      <c r="AC41" s="578"/>
      <c r="AD41" s="518"/>
      <c r="AE41" s="328"/>
      <c r="AF41" s="328"/>
      <c r="AG41" s="328"/>
      <c r="AH41" s="328"/>
      <c r="AI41" s="328"/>
      <c r="AJ41" s="328"/>
      <c r="AK41" s="328"/>
      <c r="AL41" s="328"/>
    </row>
    <row r="42" spans="1:38" x14ac:dyDescent="0.25">
      <c r="A42" s="566" t="s">
        <v>959</v>
      </c>
      <c r="B42" s="154">
        <f>+'NEW Spring CHP by DISC'!B42/15</f>
        <v>59.466666666666669</v>
      </c>
      <c r="C42" s="154">
        <f>+'NEW Spring CHP by DISC'!C42/15</f>
        <v>47.4</v>
      </c>
      <c r="D42" s="154">
        <f>+'NEW Spring CHP by DISC'!D42/12</f>
        <v>0</v>
      </c>
      <c r="E42" s="375">
        <f>SUM(B42:D42)</f>
        <v>106.86666666666667</v>
      </c>
      <c r="F42" s="154">
        <f>+'NEW Spring CHP by DISC'!F42/15</f>
        <v>45.4</v>
      </c>
      <c r="G42" s="154">
        <f>+'NEW Spring CHP by DISC'!G42/15</f>
        <v>47.2</v>
      </c>
      <c r="H42" s="154">
        <f>+'NEW Spring CHP by DISC'!H42/12</f>
        <v>0</v>
      </c>
      <c r="I42" s="581">
        <f>SUM(F42:H42)</f>
        <v>92.6</v>
      </c>
      <c r="J42" s="582">
        <f>IF(E42&gt;0,(I42-E42)/E42,(IF(I42=0,"N/A",100%)))</f>
        <v>-0.13349968808484103</v>
      </c>
      <c r="K42" s="959">
        <f>+'NEW Spring CHP by DISC'!K42/15</f>
        <v>55.8</v>
      </c>
      <c r="L42" s="154">
        <f>+'NEW Spring CHP by DISC'!L42/15</f>
        <v>53.333333333333336</v>
      </c>
      <c r="M42" s="154">
        <f>+'NEW Spring CHP by DISC'!M42/12</f>
        <v>0</v>
      </c>
      <c r="N42" s="581">
        <f>SUM(K42:M42)</f>
        <v>109.13333333333333</v>
      </c>
      <c r="O42" s="155">
        <f>IF(I42&gt;0,(N42-I42)/I42,(IF(N42=0,"N/A",100%)))</f>
        <v>0.17854571634269256</v>
      </c>
      <c r="P42" s="959">
        <f>+'NEW Spring CHP by DISC'!P42/15</f>
        <v>80.8</v>
      </c>
      <c r="Q42" s="154">
        <f>+'NEW Spring CHP by DISC'!Q42/15</f>
        <v>46.8</v>
      </c>
      <c r="R42" s="154">
        <f>+'NEW Spring CHP by DISC'!R42/12</f>
        <v>0</v>
      </c>
      <c r="S42" s="581">
        <f>SUM(P42:R42)</f>
        <v>127.6</v>
      </c>
      <c r="T42" s="155">
        <f>IF(N42&gt;0,(S42-N42)/N42,(IF(S42=0,"N/A",100%)))</f>
        <v>0.16921197312156386</v>
      </c>
      <c r="U42" s="154">
        <f>+'NEW Spring CHP by DISC'!U42/15</f>
        <v>87.533333333333331</v>
      </c>
      <c r="V42" s="154">
        <f>+'NEW Spring CHP by DISC'!V42/15</f>
        <v>41.2</v>
      </c>
      <c r="W42" s="154">
        <f>+'NEW Spring CHP by DISC'!W42/12</f>
        <v>0</v>
      </c>
      <c r="X42" s="581">
        <f>SUM(U42:W42)</f>
        <v>128.73333333333335</v>
      </c>
      <c r="Y42" s="155">
        <f>IF(S42&gt;0,(X42-S42)/S42,(IF(X42=0,"N/A",100%)))</f>
        <v>8.881922675026287E-3</v>
      </c>
      <c r="Z42" s="512">
        <f>+'NEW Spring CHP by DISC'!Z42/15</f>
        <v>73.066666666666663</v>
      </c>
      <c r="AA42" s="512">
        <f>+'NEW Spring CHP by DISC'!AA42/15</f>
        <v>53.266666666666666</v>
      </c>
      <c r="AB42" s="512">
        <f>+'NEW Spring CHP by DISC'!AB42/12</f>
        <v>0</v>
      </c>
      <c r="AC42" s="1111">
        <f>SUM(Z42:AB42)</f>
        <v>126.33333333333333</v>
      </c>
      <c r="AD42" s="1403">
        <f>IF(X42&gt;0,(AC42-X42)/X42,(IF(AC42=0,"N/A",100%)))</f>
        <v>-1.8643190056965454E-2</v>
      </c>
      <c r="AE42" s="328"/>
      <c r="AF42" s="328"/>
      <c r="AG42" s="328"/>
      <c r="AH42" s="328"/>
      <c r="AI42" s="328"/>
      <c r="AJ42" s="328"/>
      <c r="AK42" s="328"/>
      <c r="AL42" s="328"/>
    </row>
    <row r="43" spans="1:38" s="596" customFormat="1" ht="16.2" thickBot="1" x14ac:dyDescent="0.35">
      <c r="A43" s="590" t="s">
        <v>418</v>
      </c>
      <c r="B43" s="591">
        <f t="shared" ref="B43:I43" si="41">B42+B40+B38</f>
        <v>250.66666666666666</v>
      </c>
      <c r="C43" s="591">
        <f t="shared" si="41"/>
        <v>196.10000000000002</v>
      </c>
      <c r="D43" s="591">
        <f t="shared" si="41"/>
        <v>30.25</v>
      </c>
      <c r="E43" s="747">
        <f t="shared" si="41"/>
        <v>477.01666666666665</v>
      </c>
      <c r="F43" s="591">
        <f t="shared" si="41"/>
        <v>251.93333333333337</v>
      </c>
      <c r="G43" s="591">
        <f t="shared" si="41"/>
        <v>208.66666666666666</v>
      </c>
      <c r="H43" s="591">
        <f t="shared" si="41"/>
        <v>38.75</v>
      </c>
      <c r="I43" s="591">
        <f t="shared" si="41"/>
        <v>499.35</v>
      </c>
      <c r="J43" s="594">
        <f>IF(E43&gt;0,(I43-E43)/E43,(IF(I43=0,"N/A",100%)))</f>
        <v>4.6818769435030307E-2</v>
      </c>
      <c r="K43" s="962">
        <f>K42+K40+K38</f>
        <v>273.0333333333333</v>
      </c>
      <c r="L43" s="591">
        <f>L42+L40+L38</f>
        <v>225.13333333333333</v>
      </c>
      <c r="M43" s="591">
        <f>M42+M40+M38</f>
        <v>27</v>
      </c>
      <c r="N43" s="591">
        <f>N42+N40+N38</f>
        <v>525.16666666666663</v>
      </c>
      <c r="O43" s="1257">
        <f>IF(I43&gt;0,(N43-I43)/I43,(IF(N43=0,"N/A",100%)))</f>
        <v>5.1700544040585973E-2</v>
      </c>
      <c r="P43" s="962">
        <f>P42+P40+P38</f>
        <v>291.46666666666664</v>
      </c>
      <c r="Q43" s="591">
        <f>Q42+Q40+Q38</f>
        <v>232.26666666666665</v>
      </c>
      <c r="R43" s="591">
        <f>R42+R40+R38</f>
        <v>34.5</v>
      </c>
      <c r="S43" s="591">
        <f>S42+S40+S38</f>
        <v>558.23333333333335</v>
      </c>
      <c r="T43" s="1257">
        <f>IF(N43&gt;0,(S43-N43)/N43,(IF(S43=0,"N/A",100%)))</f>
        <v>6.2964138368771919E-2</v>
      </c>
      <c r="U43" s="591">
        <f>U42+U40+U38</f>
        <v>293.73333333333335</v>
      </c>
      <c r="V43" s="591">
        <f>V42+V40+V38</f>
        <v>217.13333333333333</v>
      </c>
      <c r="W43" s="591">
        <f>W42+W40+W38</f>
        <v>30.25</v>
      </c>
      <c r="X43" s="591">
        <f>X42+X40+X38</f>
        <v>541.11666666666667</v>
      </c>
      <c r="Y43" s="1257">
        <f>IF(S43&gt;0,(X43-S43)/S43,(IF(X43=0,"N/A",100%)))</f>
        <v>-3.0662208156684793E-2</v>
      </c>
      <c r="Z43" s="1408">
        <f>Z42+Z40+Z38</f>
        <v>280.16666666666663</v>
      </c>
      <c r="AA43" s="1408">
        <f>AA42+AA40+AA38</f>
        <v>232.06666666666666</v>
      </c>
      <c r="AB43" s="1408">
        <f>AB42+AB40+AB38</f>
        <v>37</v>
      </c>
      <c r="AC43" s="1408">
        <f>AC42+AC40+AC38</f>
        <v>549.23333333333335</v>
      </c>
      <c r="AD43" s="1410">
        <f>IF(X43&gt;0,(AC43-X43)/X43,(IF(AC43=0,"N/A",100%)))</f>
        <v>1.4999845997474372E-2</v>
      </c>
    </row>
    <row r="44" spans="1:38" ht="14.25" customHeight="1" thickTop="1" x14ac:dyDescent="0.25">
      <c r="A44" s="604"/>
      <c r="B44" s="335"/>
      <c r="C44" s="335"/>
      <c r="D44" s="335"/>
      <c r="E44" s="335"/>
      <c r="F44" s="335"/>
      <c r="G44" s="335"/>
      <c r="H44" s="335"/>
      <c r="I44" s="335"/>
      <c r="J44" s="328"/>
      <c r="K44" s="328"/>
      <c r="L44" s="328"/>
      <c r="M44" s="328"/>
      <c r="N44" s="328"/>
      <c r="O44" s="328"/>
      <c r="P44" s="328"/>
      <c r="Q44" s="328"/>
      <c r="R44" s="328"/>
      <c r="S44" s="328"/>
      <c r="T44" s="328"/>
      <c r="U44" s="328"/>
      <c r="V44" s="328"/>
      <c r="W44" s="328"/>
      <c r="X44" s="328"/>
      <c r="Y44" s="328"/>
      <c r="Z44" s="871"/>
      <c r="AA44" s="871"/>
      <c r="AB44" s="871"/>
      <c r="AC44" s="871"/>
      <c r="AD44" s="871"/>
      <c r="AE44" s="328"/>
      <c r="AF44" s="328"/>
      <c r="AG44" s="328"/>
      <c r="AH44" s="328"/>
      <c r="AI44" s="328"/>
      <c r="AJ44" s="328"/>
      <c r="AK44" s="328"/>
      <c r="AL44" s="328"/>
    </row>
    <row r="45" spans="1:38" ht="14.25" customHeight="1" thickBot="1" x14ac:dyDescent="0.3">
      <c r="A45" s="604"/>
      <c r="B45" s="335"/>
      <c r="C45" s="335"/>
      <c r="D45" s="335"/>
      <c r="E45" s="335"/>
      <c r="F45" s="335"/>
      <c r="G45" s="335"/>
      <c r="H45" s="335"/>
      <c r="I45" s="335"/>
      <c r="J45" s="328"/>
      <c r="K45" s="328"/>
      <c r="L45" s="328"/>
      <c r="M45" s="328"/>
      <c r="N45" s="328"/>
      <c r="O45" s="328"/>
      <c r="P45" s="328"/>
      <c r="Q45" s="328"/>
      <c r="R45" s="328"/>
      <c r="S45" s="328"/>
      <c r="T45" s="328"/>
      <c r="U45" s="328"/>
      <c r="V45" s="328"/>
      <c r="W45" s="328"/>
      <c r="X45" s="328"/>
      <c r="Y45" s="328"/>
      <c r="Z45" s="871"/>
      <c r="AA45" s="871"/>
      <c r="AB45" s="871"/>
      <c r="AC45" s="871"/>
      <c r="AD45" s="871"/>
      <c r="AE45" s="328"/>
      <c r="AF45" s="328"/>
      <c r="AG45" s="328"/>
      <c r="AH45" s="328"/>
      <c r="AI45" s="328"/>
      <c r="AJ45" s="328"/>
      <c r="AK45" s="328"/>
      <c r="AL45" s="328"/>
    </row>
    <row r="46" spans="1:38" customFormat="1" ht="18.600000000000001" thickTop="1" thickBot="1" x14ac:dyDescent="0.35">
      <c r="A46" s="1736" t="s">
        <v>407</v>
      </c>
      <c r="B46" s="1737"/>
      <c r="C46" s="1737"/>
      <c r="D46" s="1737"/>
      <c r="E46" s="1737"/>
      <c r="F46" s="1737"/>
      <c r="G46" s="1737"/>
      <c r="H46" s="1737"/>
      <c r="I46" s="1737"/>
      <c r="J46" s="1737"/>
      <c r="K46" s="1737"/>
      <c r="L46" s="1737"/>
      <c r="M46" s="1737"/>
      <c r="N46" s="1737"/>
      <c r="O46" s="1737"/>
      <c r="P46" s="1737"/>
      <c r="Q46" s="1737"/>
      <c r="R46" s="1737"/>
      <c r="S46" s="1737"/>
      <c r="T46" s="1737"/>
      <c r="U46" s="1737"/>
      <c r="V46" s="1737"/>
      <c r="W46" s="1737"/>
      <c r="X46" s="1737"/>
      <c r="Y46" s="1737"/>
      <c r="Z46" s="1737"/>
      <c r="AA46" s="1737"/>
      <c r="AB46" s="1737"/>
      <c r="AC46" s="1737"/>
      <c r="AD46" s="1738"/>
    </row>
    <row r="47" spans="1:38" ht="39.6" customHeight="1" thickTop="1" x14ac:dyDescent="0.25">
      <c r="A47" s="1723" t="s">
        <v>952</v>
      </c>
      <c r="B47" s="148" t="s">
        <v>954</v>
      </c>
      <c r="C47" s="148" t="s">
        <v>955</v>
      </c>
      <c r="D47" s="148" t="s">
        <v>956</v>
      </c>
      <c r="E47" s="820" t="s">
        <v>1015</v>
      </c>
      <c r="F47" s="148" t="s">
        <v>954</v>
      </c>
      <c r="G47" s="148" t="s">
        <v>955</v>
      </c>
      <c r="H47" s="148" t="s">
        <v>956</v>
      </c>
      <c r="I47" s="823" t="s">
        <v>1015</v>
      </c>
      <c r="J47" s="149" t="s">
        <v>1017</v>
      </c>
      <c r="K47" s="1253" t="s">
        <v>954</v>
      </c>
      <c r="L47" s="148" t="s">
        <v>955</v>
      </c>
      <c r="M47" s="148" t="s">
        <v>956</v>
      </c>
      <c r="N47" s="823" t="s">
        <v>1015</v>
      </c>
      <c r="O47" s="1263" t="s">
        <v>1017</v>
      </c>
      <c r="P47" s="1253" t="s">
        <v>954</v>
      </c>
      <c r="Q47" s="148" t="s">
        <v>955</v>
      </c>
      <c r="R47" s="148" t="s">
        <v>956</v>
      </c>
      <c r="S47" s="823" t="s">
        <v>1015</v>
      </c>
      <c r="T47" s="149" t="s">
        <v>1017</v>
      </c>
      <c r="U47" s="148" t="s">
        <v>954</v>
      </c>
      <c r="V47" s="148" t="s">
        <v>955</v>
      </c>
      <c r="W47" s="148" t="s">
        <v>956</v>
      </c>
      <c r="X47" s="823" t="s">
        <v>1015</v>
      </c>
      <c r="Y47" s="149" t="s">
        <v>1017</v>
      </c>
      <c r="Z47" s="1400" t="s">
        <v>954</v>
      </c>
      <c r="AA47" s="1400" t="s">
        <v>955</v>
      </c>
      <c r="AB47" s="1400" t="s">
        <v>956</v>
      </c>
      <c r="AC47" s="1401" t="s">
        <v>1015</v>
      </c>
      <c r="AD47" s="1402" t="s">
        <v>1017</v>
      </c>
      <c r="AE47" s="328"/>
      <c r="AF47" s="328"/>
      <c r="AG47" s="328"/>
      <c r="AH47" s="329"/>
      <c r="AI47" s="328"/>
      <c r="AJ47" s="328"/>
      <c r="AK47" s="328"/>
      <c r="AL47" s="328"/>
    </row>
    <row r="48" spans="1:38" ht="12.75" customHeight="1" x14ac:dyDescent="0.25">
      <c r="A48" s="1724"/>
      <c r="B48" s="1726" t="s">
        <v>1443</v>
      </c>
      <c r="C48" s="1727"/>
      <c r="D48" s="1727"/>
      <c r="E48" s="1728"/>
      <c r="F48" s="1727" t="s">
        <v>1442</v>
      </c>
      <c r="G48" s="1727"/>
      <c r="H48" s="1727"/>
      <c r="I48" s="1727"/>
      <c r="J48" s="1728"/>
      <c r="K48" s="1727" t="s">
        <v>1393</v>
      </c>
      <c r="L48" s="1727"/>
      <c r="M48" s="1727"/>
      <c r="N48" s="1727"/>
      <c r="O48" s="1728"/>
      <c r="P48" s="1727" t="s">
        <v>1394</v>
      </c>
      <c r="Q48" s="1727"/>
      <c r="R48" s="1727"/>
      <c r="S48" s="1727"/>
      <c r="T48" s="1728"/>
      <c r="U48" s="1727" t="s">
        <v>1395</v>
      </c>
      <c r="V48" s="1727"/>
      <c r="W48" s="1727"/>
      <c r="X48" s="1727"/>
      <c r="Y48" s="1728"/>
      <c r="Z48" s="1739" t="s">
        <v>1552</v>
      </c>
      <c r="AA48" s="1739"/>
      <c r="AB48" s="1739"/>
      <c r="AC48" s="1739"/>
      <c r="AD48" s="1740"/>
      <c r="AE48" s="328"/>
      <c r="AF48" s="328"/>
      <c r="AG48" s="328"/>
      <c r="AH48" s="328"/>
      <c r="AI48" s="328"/>
      <c r="AJ48" s="328"/>
      <c r="AK48" s="328"/>
      <c r="AL48" s="328"/>
    </row>
    <row r="49" spans="1:38" s="610" customFormat="1" x14ac:dyDescent="0.25">
      <c r="A49" s="576" t="s">
        <v>408</v>
      </c>
      <c r="B49" s="605"/>
      <c r="C49" s="606"/>
      <c r="D49" s="606"/>
      <c r="E49" s="607"/>
      <c r="F49" s="605"/>
      <c r="G49" s="606"/>
      <c r="H49" s="606"/>
      <c r="I49" s="606"/>
      <c r="J49" s="607"/>
      <c r="K49" s="1256"/>
      <c r="L49" s="606"/>
      <c r="M49" s="606"/>
      <c r="N49" s="606"/>
      <c r="O49" s="1248"/>
      <c r="P49" s="1256"/>
      <c r="Q49" s="606"/>
      <c r="R49" s="606"/>
      <c r="S49" s="606"/>
      <c r="T49" s="607"/>
      <c r="U49" s="605"/>
      <c r="V49" s="606"/>
      <c r="W49" s="606"/>
      <c r="X49" s="606"/>
      <c r="Y49" s="607"/>
      <c r="Z49" s="605"/>
      <c r="AA49" s="578"/>
      <c r="AB49" s="578"/>
      <c r="AC49" s="578"/>
      <c r="AD49" s="518"/>
      <c r="AE49" s="609"/>
      <c r="AF49" s="609"/>
      <c r="AG49" s="609"/>
      <c r="AH49" s="609"/>
      <c r="AI49" s="609"/>
      <c r="AJ49" s="609"/>
      <c r="AK49" s="609"/>
      <c r="AL49" s="609"/>
    </row>
    <row r="50" spans="1:38" x14ac:dyDescent="0.25">
      <c r="A50" s="566" t="s">
        <v>976</v>
      </c>
      <c r="B50" s="154">
        <f>+'NEW Spring CHP by DISC'!B50/15</f>
        <v>55</v>
      </c>
      <c r="C50" s="154">
        <f>+'NEW Spring CHP by DISC'!C50/15</f>
        <v>29.533333333333335</v>
      </c>
      <c r="D50" s="154">
        <f>+'NEW Spring CHP by DISC'!D50/12</f>
        <v>0</v>
      </c>
      <c r="E50" s="745">
        <f>SUM(B50:D50)</f>
        <v>84.533333333333331</v>
      </c>
      <c r="F50" s="154">
        <f>+'NEW Spring CHP by DISC'!F50/15</f>
        <v>59</v>
      </c>
      <c r="G50" s="154">
        <f>+'NEW Spring CHP by DISC'!G50/15</f>
        <v>30.733333333333334</v>
      </c>
      <c r="H50" s="154">
        <f>+'NEW Spring CHP by DISC'!H50/12</f>
        <v>0</v>
      </c>
      <c r="I50" s="154">
        <f>SUM(F50:H50)</f>
        <v>89.733333333333334</v>
      </c>
      <c r="J50" s="155">
        <f>IF(E50&gt;0,(I50-E50)/E50,(IF(I50=0,"N/A",100%)))</f>
        <v>6.1514195583596248E-2</v>
      </c>
      <c r="K50" s="959">
        <f>+'NEW Spring CHP by DISC'!K50/15</f>
        <v>84.8</v>
      </c>
      <c r="L50" s="154">
        <f>+'NEW Spring CHP by DISC'!L50/15</f>
        <v>20.466666666666665</v>
      </c>
      <c r="M50" s="154">
        <f>+'NEW Spring CHP by DISC'!M50/12</f>
        <v>0</v>
      </c>
      <c r="N50" s="154">
        <f>SUM(K50:M50)</f>
        <v>105.26666666666667</v>
      </c>
      <c r="O50" s="870">
        <f>IF(I50&gt;0,(N50-I50)/I50,(IF(N50=0,"N/A",100%)))</f>
        <v>0.17310549777117382</v>
      </c>
      <c r="P50" s="959">
        <f>+'NEW Spring CHP by DISC'!P50/15</f>
        <v>93.4</v>
      </c>
      <c r="Q50" s="154">
        <f>+'NEW Spring CHP by DISC'!Q50/15</f>
        <v>18.2</v>
      </c>
      <c r="R50" s="154">
        <f>+'NEW Spring CHP by DISC'!R50/12</f>
        <v>0</v>
      </c>
      <c r="S50" s="154">
        <f>SUM(P50:R50)</f>
        <v>111.60000000000001</v>
      </c>
      <c r="T50" s="155">
        <f>IF(N50&gt;0,(S50-N50)/N50,(IF(S50=0,"N/A",100%)))</f>
        <v>6.0164661177960828E-2</v>
      </c>
      <c r="U50" s="154">
        <f>+'NEW Spring CHP by DISC'!U50/15</f>
        <v>71.8</v>
      </c>
      <c r="V50" s="154">
        <f>+'NEW Spring CHP by DISC'!V50/15</f>
        <v>33.333333333333336</v>
      </c>
      <c r="W50" s="154">
        <f>+'NEW Spring CHP by DISC'!W50/12</f>
        <v>0</v>
      </c>
      <c r="X50" s="154">
        <f>SUM(U50:W50)</f>
        <v>105.13333333333333</v>
      </c>
      <c r="Y50" s="155">
        <f>IF(S50&gt;0,(X50-S50)/S50,(IF(X50=0,"N/A",100%)))</f>
        <v>-5.79450418160097E-2</v>
      </c>
      <c r="Z50" s="512">
        <f>+'NEW Spring CHP by DISC'!Z50/15</f>
        <v>54.4</v>
      </c>
      <c r="AA50" s="512">
        <f>+'NEW Spring CHP by DISC'!AA50/15</f>
        <v>36.466666666666669</v>
      </c>
      <c r="AB50" s="512">
        <f>+'NEW Spring CHP by DISC'!AB50/12</f>
        <v>0.25</v>
      </c>
      <c r="AC50" s="512">
        <f>SUM(Z50:AB50)</f>
        <v>91.116666666666674</v>
      </c>
      <c r="AD50" s="1403">
        <f>IF(X50&gt;0,(AC50-X50)/X50,(IF(AC50=0,"N/A",100%)))</f>
        <v>-0.13332276474318314</v>
      </c>
      <c r="AE50" s="328"/>
      <c r="AF50" s="328"/>
      <c r="AG50" s="328"/>
      <c r="AH50" s="328"/>
      <c r="AI50" s="328"/>
      <c r="AJ50" s="328"/>
      <c r="AK50" s="328"/>
      <c r="AL50" s="328"/>
    </row>
    <row r="51" spans="1:38" x14ac:dyDescent="0.25">
      <c r="A51" s="566" t="s">
        <v>977</v>
      </c>
      <c r="B51" s="154">
        <f>+'NEW Spring CHP by DISC'!B51/15</f>
        <v>1.0666666666666667</v>
      </c>
      <c r="C51" s="154">
        <f>+'NEW Spring CHP by DISC'!C51/15</f>
        <v>2.7333333333333334</v>
      </c>
      <c r="D51" s="154">
        <f>+'NEW Spring CHP by DISC'!D51/12</f>
        <v>0</v>
      </c>
      <c r="E51" s="745">
        <f>SUM(B51:D51)</f>
        <v>3.8</v>
      </c>
      <c r="F51" s="154">
        <f>+'NEW Spring CHP by DISC'!F51/15</f>
        <v>3.9333333333333331</v>
      </c>
      <c r="G51" s="154">
        <f>+'NEW Spring CHP by DISC'!G51/15</f>
        <v>0.73333333333333328</v>
      </c>
      <c r="H51" s="154">
        <f>+'NEW Spring CHP by DISC'!H51/12</f>
        <v>0</v>
      </c>
      <c r="I51" s="154">
        <f>SUM(F51:H51)</f>
        <v>4.6666666666666661</v>
      </c>
      <c r="J51" s="155">
        <f>IF(E51&gt;0,(I51-E51)/E51,(IF(I51=0,"N/A",100%)))</f>
        <v>0.2280701754385964</v>
      </c>
      <c r="K51" s="959">
        <f>+'NEW Spring CHP by DISC'!K51/15</f>
        <v>0</v>
      </c>
      <c r="L51" s="154">
        <f>+'NEW Spring CHP by DISC'!L51/15</f>
        <v>1.2</v>
      </c>
      <c r="M51" s="154">
        <f>+'NEW Spring CHP by DISC'!M51/12</f>
        <v>0</v>
      </c>
      <c r="N51" s="154">
        <f>SUM(K51:M51)</f>
        <v>1.2</v>
      </c>
      <c r="O51" s="870">
        <f>IF(I51&gt;0,(N51-I51)/I51,(IF(N51=0,"N/A",100%)))</f>
        <v>-0.74285714285714277</v>
      </c>
      <c r="P51" s="959">
        <f>+'NEW Spring CHP by DISC'!P51/15</f>
        <v>5.8</v>
      </c>
      <c r="Q51" s="154">
        <f>+'NEW Spring CHP by DISC'!Q51/15</f>
        <v>1.6666666666666667</v>
      </c>
      <c r="R51" s="154">
        <f>+'NEW Spring CHP by DISC'!R51/12</f>
        <v>0</v>
      </c>
      <c r="S51" s="154">
        <f>SUM(P51:R51)</f>
        <v>7.4666666666666668</v>
      </c>
      <c r="T51" s="155">
        <f>IF(N51&gt;0,(S51-N51)/N51,(IF(S51=0,"N/A",100%)))</f>
        <v>5.2222222222222223</v>
      </c>
      <c r="U51" s="154">
        <f>+'NEW Spring CHP by DISC'!U51/15</f>
        <v>10.6</v>
      </c>
      <c r="V51" s="154">
        <f>+'NEW Spring CHP by DISC'!V51/15</f>
        <v>4</v>
      </c>
      <c r="W51" s="154">
        <f>+'NEW Spring CHP by DISC'!W51/12</f>
        <v>0</v>
      </c>
      <c r="X51" s="154">
        <f>SUM(U51:W51)</f>
        <v>14.6</v>
      </c>
      <c r="Y51" s="155">
        <f>IF(S51&gt;0,(X51-S51)/S51,(IF(X51=0,"N/A",100%)))</f>
        <v>0.95535714285714279</v>
      </c>
      <c r="Z51" s="512">
        <f>+'NEW Spring CHP by DISC'!Z51/15</f>
        <v>5.2</v>
      </c>
      <c r="AA51" s="512">
        <f>+'NEW Spring CHP by DISC'!AA51/15</f>
        <v>1.4</v>
      </c>
      <c r="AB51" s="512">
        <f>+'NEW Spring CHP by DISC'!AB51/12</f>
        <v>0</v>
      </c>
      <c r="AC51" s="512">
        <f>SUM(Z51:AB51)</f>
        <v>6.6</v>
      </c>
      <c r="AD51" s="1403">
        <f>IF(X51&gt;0,(AC51-X51)/X51,(IF(AC51=0,"N/A",100%)))</f>
        <v>-0.54794520547945202</v>
      </c>
      <c r="AE51" s="328"/>
      <c r="AF51" s="328"/>
      <c r="AG51" s="328"/>
      <c r="AH51" s="328"/>
      <c r="AI51" s="328"/>
      <c r="AJ51" s="328"/>
      <c r="AK51" s="328"/>
      <c r="AL51" s="328"/>
    </row>
    <row r="52" spans="1:38" s="575" customFormat="1" ht="13.8" x14ac:dyDescent="0.25">
      <c r="A52" s="570" t="s">
        <v>961</v>
      </c>
      <c r="B52" s="611">
        <f t="shared" ref="B52:I52" si="42">+B51+B50</f>
        <v>56.06666666666667</v>
      </c>
      <c r="C52" s="611">
        <f t="shared" si="42"/>
        <v>32.266666666666666</v>
      </c>
      <c r="D52" s="611">
        <f t="shared" si="42"/>
        <v>0</v>
      </c>
      <c r="E52" s="748">
        <f t="shared" si="42"/>
        <v>88.333333333333329</v>
      </c>
      <c r="F52" s="611">
        <f t="shared" si="42"/>
        <v>62.93333333333333</v>
      </c>
      <c r="G52" s="611">
        <f t="shared" si="42"/>
        <v>31.466666666666669</v>
      </c>
      <c r="H52" s="611">
        <f t="shared" si="42"/>
        <v>0</v>
      </c>
      <c r="I52" s="611">
        <f t="shared" si="42"/>
        <v>94.4</v>
      </c>
      <c r="J52" s="613">
        <f>IF(E52&gt;0,(I52-E52)/E52,(IF(I52=0,"N/A",100%)))</f>
        <v>6.8679245283018983E-2</v>
      </c>
      <c r="K52" s="1259">
        <f>+K51+K50</f>
        <v>84.8</v>
      </c>
      <c r="L52" s="611">
        <f>+L51+L50</f>
        <v>21.666666666666664</v>
      </c>
      <c r="M52" s="611">
        <f>+M51+M50</f>
        <v>0</v>
      </c>
      <c r="N52" s="611">
        <f>+N51+N50</f>
        <v>106.46666666666667</v>
      </c>
      <c r="O52" s="1264">
        <f>IF(I52&gt;0,(N52-I52)/I52,(IF(N52=0,"N/A",100%)))</f>
        <v>0.12782485875706209</v>
      </c>
      <c r="P52" s="1259">
        <f>+P51+P50</f>
        <v>99.2</v>
      </c>
      <c r="Q52" s="611">
        <f>+Q51+Q50</f>
        <v>19.866666666666667</v>
      </c>
      <c r="R52" s="611">
        <f>+R51+R50</f>
        <v>0</v>
      </c>
      <c r="S52" s="611">
        <f>+S51+S50</f>
        <v>119.06666666666668</v>
      </c>
      <c r="T52" s="613">
        <f>IF(N52&gt;0,(S52-N52)/N52,(IF(S52=0,"N/A",100%)))</f>
        <v>0.11834690043832193</v>
      </c>
      <c r="U52" s="611">
        <f>+U51+U50</f>
        <v>82.399999999999991</v>
      </c>
      <c r="V52" s="611">
        <f>+V51+V50</f>
        <v>37.333333333333336</v>
      </c>
      <c r="W52" s="611">
        <f>+W51+W50</f>
        <v>0</v>
      </c>
      <c r="X52" s="611">
        <f>+X51+X50</f>
        <v>119.73333333333332</v>
      </c>
      <c r="Y52" s="613">
        <f>IF(S52&gt;0,(X52-S52)/S52,(IF(X52=0,"N/A",100%)))</f>
        <v>5.5991041433368664E-3</v>
      </c>
      <c r="Z52" s="1411">
        <f>+Z51+Z50</f>
        <v>59.6</v>
      </c>
      <c r="AA52" s="1411">
        <f>+AA51+AA50</f>
        <v>37.866666666666667</v>
      </c>
      <c r="AB52" s="1411">
        <f>+AB51+AB50</f>
        <v>0.25</v>
      </c>
      <c r="AC52" s="1411">
        <f>+AC51+AC50</f>
        <v>97.716666666666669</v>
      </c>
      <c r="AD52" s="1405">
        <f>IF(X52&gt;0,(AC52-X52)/X52,(IF(AC52=0,"N/A",100%)))</f>
        <v>-0.18388084632516694</v>
      </c>
    </row>
    <row r="53" spans="1:38" x14ac:dyDescent="0.25">
      <c r="A53" s="576" t="s">
        <v>411</v>
      </c>
      <c r="B53" s="151"/>
      <c r="C53" s="152"/>
      <c r="D53" s="152"/>
      <c r="E53" s="153"/>
      <c r="F53" s="151"/>
      <c r="G53" s="152"/>
      <c r="H53" s="152"/>
      <c r="I53" s="152"/>
      <c r="J53" s="153"/>
      <c r="K53" s="1254"/>
      <c r="L53" s="152"/>
      <c r="M53" s="152"/>
      <c r="N53" s="152"/>
      <c r="O53" s="1251"/>
      <c r="P53" s="1254"/>
      <c r="Q53" s="152"/>
      <c r="R53" s="152"/>
      <c r="S53" s="152"/>
      <c r="T53" s="153"/>
      <c r="U53" s="151"/>
      <c r="V53" s="152"/>
      <c r="W53" s="152"/>
      <c r="X53" s="152"/>
      <c r="Y53" s="153"/>
      <c r="Z53" s="605"/>
      <c r="AA53" s="578"/>
      <c r="AB53" s="578"/>
      <c r="AC53" s="578"/>
      <c r="AD53" s="518"/>
      <c r="AE53" s="328"/>
      <c r="AF53" s="328"/>
      <c r="AG53" s="328"/>
      <c r="AH53" s="328"/>
      <c r="AI53" s="328"/>
      <c r="AJ53" s="328"/>
      <c r="AK53" s="328"/>
      <c r="AL53" s="328"/>
    </row>
    <row r="54" spans="1:38" x14ac:dyDescent="0.25">
      <c r="A54" s="666" t="s">
        <v>1014</v>
      </c>
      <c r="B54" s="154">
        <f>+'NEW Spring CHP by DISC'!B54/15</f>
        <v>0</v>
      </c>
      <c r="C54" s="154">
        <f>+'NEW Spring CHP by DISC'!C54/15</f>
        <v>0</v>
      </c>
      <c r="D54" s="154">
        <f>+'NEW Spring CHP by DISC'!D54/12</f>
        <v>0</v>
      </c>
      <c r="E54" s="745">
        <f t="shared" ref="E54:E59" si="43">SUM(B54:D54)</f>
        <v>0</v>
      </c>
      <c r="F54" s="154">
        <f>+'NEW Spring CHP by DISC'!F54/15</f>
        <v>0.53333333333333333</v>
      </c>
      <c r="G54" s="154">
        <f>+'NEW Spring CHP by DISC'!G54/15</f>
        <v>0</v>
      </c>
      <c r="H54" s="154">
        <f>+'NEW Spring CHP by DISC'!H54/12</f>
        <v>0</v>
      </c>
      <c r="I54" s="154">
        <f t="shared" ref="I54:I59" si="44">SUM(F54:H54)</f>
        <v>0.53333333333333333</v>
      </c>
      <c r="J54" s="155">
        <f t="shared" ref="J54:J60" si="45">IF(E54&gt;0,(I54-E54)/E54,(IF(I54=0,"N/A",100%)))</f>
        <v>1</v>
      </c>
      <c r="K54" s="959">
        <f>+'NEW Spring CHP by DISC'!K54/15</f>
        <v>1.6</v>
      </c>
      <c r="L54" s="154">
        <f>+'NEW Spring CHP by DISC'!L54/15</f>
        <v>0</v>
      </c>
      <c r="M54" s="154">
        <f>+'NEW Spring CHP by DISC'!M54/12</f>
        <v>0</v>
      </c>
      <c r="N54" s="154">
        <f t="shared" ref="N54:N59" si="46">SUM(K54:M54)</f>
        <v>1.6</v>
      </c>
      <c r="O54" s="870">
        <f t="shared" ref="O54:O60" si="47">IF(I54&gt;0,(N54-I54)/I54,(IF(N54=0,"N/A",100%)))</f>
        <v>2.0000000000000004</v>
      </c>
      <c r="P54" s="959">
        <f>+'NEW Spring CHP by DISC'!P54/15</f>
        <v>0</v>
      </c>
      <c r="Q54" s="154">
        <f>+'NEW Spring CHP by DISC'!Q54/15</f>
        <v>0</v>
      </c>
      <c r="R54" s="154">
        <f>+'NEW Spring CHP by DISC'!R54/12</f>
        <v>0</v>
      </c>
      <c r="S54" s="154">
        <f t="shared" ref="S54:S59" si="48">SUM(P54:R54)</f>
        <v>0</v>
      </c>
      <c r="T54" s="155">
        <f t="shared" ref="T54:T60" si="49">IF(N54&gt;0,(S54-N54)/N54,(IF(S54=0,"N/A",100%)))</f>
        <v>-1</v>
      </c>
      <c r="U54" s="154">
        <f>+'NEW Spring CHP by DISC'!U54/15</f>
        <v>0</v>
      </c>
      <c r="V54" s="154">
        <f>+'NEW Spring CHP by DISC'!V54/15</f>
        <v>0</v>
      </c>
      <c r="W54" s="154">
        <f>+'NEW Spring CHP by DISC'!W54/12</f>
        <v>0</v>
      </c>
      <c r="X54" s="154">
        <f t="shared" ref="X54:X59" si="50">SUM(U54:W54)</f>
        <v>0</v>
      </c>
      <c r="Y54" s="155" t="str">
        <f t="shared" ref="Y54:Y60" si="51">IF(S54&gt;0,(X54-S54)/S54,(IF(X54=0,"N/A",100%)))</f>
        <v>N/A</v>
      </c>
      <c r="Z54" s="512">
        <f>+'NEW Spring CHP by DISC'!Z54/15</f>
        <v>0</v>
      </c>
      <c r="AA54" s="512">
        <f>+'NEW Spring CHP by DISC'!AA54/15</f>
        <v>0</v>
      </c>
      <c r="AB54" s="512">
        <f>+'NEW Spring CHP by DISC'!AB54/12</f>
        <v>0</v>
      </c>
      <c r="AC54" s="512">
        <f t="shared" ref="AC54:AC59" si="52">SUM(Z54:AB54)</f>
        <v>0</v>
      </c>
      <c r="AD54" s="1403" t="str">
        <f t="shared" ref="AD54:AD60" si="53">IF(X54&gt;0,(AC54-X54)/X54,(IF(AC54=0,"N/A",100%)))</f>
        <v>N/A</v>
      </c>
      <c r="AE54" s="328"/>
      <c r="AF54" s="328"/>
      <c r="AG54" s="328"/>
      <c r="AH54" s="328"/>
      <c r="AI54" s="328"/>
      <c r="AJ54" s="328"/>
      <c r="AK54" s="328"/>
      <c r="AL54" s="328"/>
    </row>
    <row r="55" spans="1:38" x14ac:dyDescent="0.25">
      <c r="A55" s="566" t="s">
        <v>978</v>
      </c>
      <c r="B55" s="154">
        <f>+'NEW Spring CHP by DISC'!B55/15</f>
        <v>8</v>
      </c>
      <c r="C55" s="154">
        <f>+'NEW Spring CHP by DISC'!C55/15</f>
        <v>10</v>
      </c>
      <c r="D55" s="154">
        <f>+'NEW Spring CHP by DISC'!D55/12</f>
        <v>0</v>
      </c>
      <c r="E55" s="745">
        <f t="shared" si="43"/>
        <v>18</v>
      </c>
      <c r="F55" s="154">
        <f>+'NEW Spring CHP by DISC'!F55/15</f>
        <v>6</v>
      </c>
      <c r="G55" s="154">
        <f>+'NEW Spring CHP by DISC'!G55/15</f>
        <v>9.8000000000000007</v>
      </c>
      <c r="H55" s="154">
        <f>+'NEW Spring CHP by DISC'!H55/12</f>
        <v>0</v>
      </c>
      <c r="I55" s="154">
        <f t="shared" si="44"/>
        <v>15.8</v>
      </c>
      <c r="J55" s="155">
        <f t="shared" si="45"/>
        <v>-0.12222222222222218</v>
      </c>
      <c r="K55" s="959">
        <f>+'NEW Spring CHP by DISC'!K55/15</f>
        <v>9.8000000000000007</v>
      </c>
      <c r="L55" s="154">
        <f>+'NEW Spring CHP by DISC'!L55/15</f>
        <v>9.4</v>
      </c>
      <c r="M55" s="154">
        <f>+'NEW Spring CHP by DISC'!M55/12</f>
        <v>0</v>
      </c>
      <c r="N55" s="154">
        <f t="shared" si="46"/>
        <v>19.200000000000003</v>
      </c>
      <c r="O55" s="870">
        <f t="shared" si="47"/>
        <v>0.21518987341772164</v>
      </c>
      <c r="P55" s="959">
        <f>+'NEW Spring CHP by DISC'!P55/15</f>
        <v>7.8</v>
      </c>
      <c r="Q55" s="154">
        <f>+'NEW Spring CHP by DISC'!Q55/15</f>
        <v>10.199999999999999</v>
      </c>
      <c r="R55" s="154">
        <f>+'NEW Spring CHP by DISC'!R55/12</f>
        <v>0</v>
      </c>
      <c r="S55" s="154">
        <f t="shared" si="48"/>
        <v>18</v>
      </c>
      <c r="T55" s="155">
        <f t="shared" si="49"/>
        <v>-6.2500000000000139E-2</v>
      </c>
      <c r="U55" s="154">
        <f>+'NEW Spring CHP by DISC'!U55/15</f>
        <v>13.4</v>
      </c>
      <c r="V55" s="154">
        <f>+'NEW Spring CHP by DISC'!V55/15</f>
        <v>8.6</v>
      </c>
      <c r="W55" s="154">
        <f>+'NEW Spring CHP by DISC'!W55/12</f>
        <v>0</v>
      </c>
      <c r="X55" s="154">
        <f t="shared" si="50"/>
        <v>22</v>
      </c>
      <c r="Y55" s="155">
        <f t="shared" si="51"/>
        <v>0.22222222222222221</v>
      </c>
      <c r="Z55" s="512">
        <f>+'NEW Spring CHP by DISC'!Z55/15</f>
        <v>9.8000000000000007</v>
      </c>
      <c r="AA55" s="512">
        <f>+'NEW Spring CHP by DISC'!AA55/15</f>
        <v>7.8</v>
      </c>
      <c r="AB55" s="512">
        <f>+'NEW Spring CHP by DISC'!AB55/12</f>
        <v>0</v>
      </c>
      <c r="AC55" s="512">
        <f t="shared" si="52"/>
        <v>17.600000000000001</v>
      </c>
      <c r="AD55" s="1403">
        <f t="shared" si="53"/>
        <v>-0.19999999999999993</v>
      </c>
      <c r="AE55" s="328"/>
      <c r="AF55" s="328"/>
      <c r="AG55" s="328"/>
      <c r="AH55" s="328"/>
      <c r="AI55" s="328"/>
      <c r="AJ55" s="328"/>
      <c r="AK55" s="328"/>
      <c r="AL55" s="328"/>
    </row>
    <row r="56" spans="1:38" x14ac:dyDescent="0.25">
      <c r="A56" s="566" t="s">
        <v>981</v>
      </c>
      <c r="B56" s="154">
        <f>+'NEW Spring CHP by DISC'!B56/15</f>
        <v>0</v>
      </c>
      <c r="C56" s="154">
        <f>+'NEW Spring CHP by DISC'!C56/15</f>
        <v>1.4666666666666666</v>
      </c>
      <c r="D56" s="154">
        <f>+'NEW Spring CHP by DISC'!D56/12</f>
        <v>0</v>
      </c>
      <c r="E56" s="745">
        <f t="shared" si="43"/>
        <v>1.4666666666666666</v>
      </c>
      <c r="F56" s="154">
        <f>+'NEW Spring CHP by DISC'!F56/15</f>
        <v>0</v>
      </c>
      <c r="G56" s="154">
        <f>+'NEW Spring CHP by DISC'!G56/15</f>
        <v>0.73333333333333328</v>
      </c>
      <c r="H56" s="154">
        <f>+'NEW Spring CHP by DISC'!H56/12</f>
        <v>0</v>
      </c>
      <c r="I56" s="154">
        <f t="shared" si="44"/>
        <v>0.73333333333333328</v>
      </c>
      <c r="J56" s="155">
        <f t="shared" si="45"/>
        <v>-0.5</v>
      </c>
      <c r="K56" s="959">
        <f>+'NEW Spring CHP by DISC'!K56/15</f>
        <v>0</v>
      </c>
      <c r="L56" s="154">
        <f>+'NEW Spring CHP by DISC'!L56/15</f>
        <v>0.93333333333333335</v>
      </c>
      <c r="M56" s="154">
        <f>+'NEW Spring CHP by DISC'!M56/12</f>
        <v>0</v>
      </c>
      <c r="N56" s="154">
        <f t="shared" si="46"/>
        <v>0.93333333333333335</v>
      </c>
      <c r="O56" s="870">
        <f t="shared" si="47"/>
        <v>0.27272727272727282</v>
      </c>
      <c r="P56" s="959">
        <f>+'NEW Spring CHP by DISC'!P56/15</f>
        <v>6</v>
      </c>
      <c r="Q56" s="154">
        <f>+'NEW Spring CHP by DISC'!Q56/15</f>
        <v>0.66666666666666663</v>
      </c>
      <c r="R56" s="154">
        <f>+'NEW Spring CHP by DISC'!R56/12</f>
        <v>0</v>
      </c>
      <c r="S56" s="154">
        <f t="shared" si="48"/>
        <v>6.666666666666667</v>
      </c>
      <c r="T56" s="155">
        <f t="shared" si="49"/>
        <v>6.1428571428571432</v>
      </c>
      <c r="U56" s="154">
        <f>+'NEW Spring CHP by DISC'!U56/15</f>
        <v>6.2</v>
      </c>
      <c r="V56" s="154">
        <f>+'NEW Spring CHP by DISC'!V56/15</f>
        <v>1.0666666666666667</v>
      </c>
      <c r="W56" s="154">
        <f>+'NEW Spring CHP by DISC'!W56/12</f>
        <v>0</v>
      </c>
      <c r="X56" s="154">
        <f t="shared" si="50"/>
        <v>7.2666666666666666</v>
      </c>
      <c r="Y56" s="155">
        <f t="shared" si="51"/>
        <v>8.9999999999999941E-2</v>
      </c>
      <c r="Z56" s="512">
        <f>+'NEW Spring CHP by DISC'!Z56/15</f>
        <v>6</v>
      </c>
      <c r="AA56" s="512">
        <f>+'NEW Spring CHP by DISC'!AA56/15</f>
        <v>1.4</v>
      </c>
      <c r="AB56" s="512">
        <f>+'NEW Spring CHP by DISC'!AB56/12</f>
        <v>0</v>
      </c>
      <c r="AC56" s="512">
        <f t="shared" si="52"/>
        <v>7.4</v>
      </c>
      <c r="AD56" s="1403">
        <f t="shared" si="53"/>
        <v>1.8348623853211066E-2</v>
      </c>
      <c r="AE56" s="328"/>
      <c r="AF56" s="328"/>
      <c r="AG56" s="328"/>
      <c r="AH56" s="328"/>
      <c r="AI56" s="328"/>
      <c r="AJ56" s="328"/>
      <c r="AK56" s="328"/>
      <c r="AL56" s="328"/>
    </row>
    <row r="57" spans="1:38" x14ac:dyDescent="0.25">
      <c r="A57" s="566" t="s">
        <v>982</v>
      </c>
      <c r="B57" s="154">
        <f>+'NEW Spring CHP by DISC'!B57/15</f>
        <v>10</v>
      </c>
      <c r="C57" s="154">
        <f>+'NEW Spring CHP by DISC'!C57/15</f>
        <v>26.6</v>
      </c>
      <c r="D57" s="154">
        <f>+'NEW Spring CHP by DISC'!D57/12</f>
        <v>0</v>
      </c>
      <c r="E57" s="745">
        <f t="shared" si="43"/>
        <v>36.6</v>
      </c>
      <c r="F57" s="154">
        <f>+'NEW Spring CHP by DISC'!F57/15</f>
        <v>11</v>
      </c>
      <c r="G57" s="154">
        <f>+'NEW Spring CHP by DISC'!G57/15</f>
        <v>28.8</v>
      </c>
      <c r="H57" s="154">
        <f>+'NEW Spring CHP by DISC'!H57/12</f>
        <v>0</v>
      </c>
      <c r="I57" s="154">
        <f t="shared" si="44"/>
        <v>39.799999999999997</v>
      </c>
      <c r="J57" s="155">
        <f t="shared" si="45"/>
        <v>8.7431693989070913E-2</v>
      </c>
      <c r="K57" s="959">
        <f>+'NEW Spring CHP by DISC'!K57/15</f>
        <v>18.399999999999999</v>
      </c>
      <c r="L57" s="154">
        <f>+'NEW Spring CHP by DISC'!L57/15</f>
        <v>35.799999999999997</v>
      </c>
      <c r="M57" s="154">
        <f>+'NEW Spring CHP by DISC'!M57/12</f>
        <v>0</v>
      </c>
      <c r="N57" s="154">
        <f t="shared" si="46"/>
        <v>54.199999999999996</v>
      </c>
      <c r="O57" s="870">
        <f t="shared" si="47"/>
        <v>0.36180904522613067</v>
      </c>
      <c r="P57" s="959">
        <f>+'NEW Spring CHP by DISC'!P57/15</f>
        <v>26.6</v>
      </c>
      <c r="Q57" s="154">
        <f>+'NEW Spring CHP by DISC'!Q57/15</f>
        <v>33.6</v>
      </c>
      <c r="R57" s="154">
        <f>+'NEW Spring CHP by DISC'!R57/12</f>
        <v>0</v>
      </c>
      <c r="S57" s="154">
        <f t="shared" si="48"/>
        <v>60.2</v>
      </c>
      <c r="T57" s="155">
        <f t="shared" si="49"/>
        <v>0.11070110701107025</v>
      </c>
      <c r="U57" s="154">
        <f>+'NEW Spring CHP by DISC'!U57/15</f>
        <v>29.4</v>
      </c>
      <c r="V57" s="154">
        <f>+'NEW Spring CHP by DISC'!V57/15</f>
        <v>29.4</v>
      </c>
      <c r="W57" s="154">
        <f>+'NEW Spring CHP by DISC'!W57/12</f>
        <v>0</v>
      </c>
      <c r="X57" s="154">
        <f t="shared" si="50"/>
        <v>58.8</v>
      </c>
      <c r="Y57" s="155">
        <f t="shared" si="51"/>
        <v>-2.3255813953488465E-2</v>
      </c>
      <c r="Z57" s="512">
        <f>+'NEW Spring CHP by DISC'!Z57/15</f>
        <v>28.4</v>
      </c>
      <c r="AA57" s="512">
        <f>+'NEW Spring CHP by DISC'!AA57/15</f>
        <v>30.866666666666667</v>
      </c>
      <c r="AB57" s="512">
        <f>+'NEW Spring CHP by DISC'!AB57/12</f>
        <v>0</v>
      </c>
      <c r="AC57" s="512">
        <f t="shared" si="52"/>
        <v>59.266666666666666</v>
      </c>
      <c r="AD57" s="1403">
        <f t="shared" si="53"/>
        <v>7.936507936507969E-3</v>
      </c>
      <c r="AE57" s="328"/>
      <c r="AF57" s="328"/>
      <c r="AG57" s="328"/>
      <c r="AH57" s="328"/>
      <c r="AI57" s="328"/>
      <c r="AJ57" s="328"/>
      <c r="AK57" s="328"/>
      <c r="AL57" s="328"/>
    </row>
    <row r="58" spans="1:38" x14ac:dyDescent="0.25">
      <c r="A58" s="566" t="s">
        <v>985</v>
      </c>
      <c r="B58" s="154">
        <f>+'NEW Spring CHP by DISC'!B58/15</f>
        <v>27.2</v>
      </c>
      <c r="C58" s="154">
        <f>+'NEW Spring CHP by DISC'!C58/15</f>
        <v>0</v>
      </c>
      <c r="D58" s="154">
        <f>+'NEW Spring CHP by DISC'!D58/12</f>
        <v>0</v>
      </c>
      <c r="E58" s="745">
        <f t="shared" si="43"/>
        <v>27.2</v>
      </c>
      <c r="F58" s="154">
        <f>+'NEW Spring CHP by DISC'!F58/15</f>
        <v>30.4</v>
      </c>
      <c r="G58" s="154">
        <f>+'NEW Spring CHP by DISC'!G58/15</f>
        <v>0</v>
      </c>
      <c r="H58" s="154">
        <f>+'NEW Spring CHP by DISC'!H58/12</f>
        <v>0</v>
      </c>
      <c r="I58" s="154">
        <f t="shared" si="44"/>
        <v>30.4</v>
      </c>
      <c r="J58" s="155">
        <f t="shared" si="45"/>
        <v>0.11764705882352938</v>
      </c>
      <c r="K58" s="959">
        <f>+'NEW Spring CHP by DISC'!K58/15</f>
        <v>43.2</v>
      </c>
      <c r="L58" s="154">
        <f>+'NEW Spring CHP by DISC'!L58/15</f>
        <v>0</v>
      </c>
      <c r="M58" s="154">
        <f>+'NEW Spring CHP by DISC'!M58/12</f>
        <v>0</v>
      </c>
      <c r="N58" s="154">
        <f t="shared" si="46"/>
        <v>43.2</v>
      </c>
      <c r="O58" s="870">
        <f t="shared" si="47"/>
        <v>0.42105263157894751</v>
      </c>
      <c r="P58" s="959">
        <f>+'NEW Spring CHP by DISC'!P58/15</f>
        <v>41.6</v>
      </c>
      <c r="Q58" s="154">
        <f>+'NEW Spring CHP by DISC'!Q58/15</f>
        <v>0</v>
      </c>
      <c r="R58" s="154">
        <f>+'NEW Spring CHP by DISC'!R58/12</f>
        <v>0</v>
      </c>
      <c r="S58" s="154">
        <f t="shared" si="48"/>
        <v>41.6</v>
      </c>
      <c r="T58" s="155">
        <f t="shared" si="49"/>
        <v>-3.703703703703707E-2</v>
      </c>
      <c r="U58" s="154">
        <f>+'NEW Spring CHP by DISC'!U58/15</f>
        <v>34.4</v>
      </c>
      <c r="V58" s="154">
        <f>+'NEW Spring CHP by DISC'!V58/15</f>
        <v>0</v>
      </c>
      <c r="W58" s="154">
        <f>+'NEW Spring CHP by DISC'!W58/12</f>
        <v>0</v>
      </c>
      <c r="X58" s="154">
        <f t="shared" si="50"/>
        <v>34.4</v>
      </c>
      <c r="Y58" s="155">
        <f t="shared" si="51"/>
        <v>-0.17307692307692313</v>
      </c>
      <c r="Z58" s="512">
        <f>+'NEW Spring CHP by DISC'!Z58/15</f>
        <v>28.4</v>
      </c>
      <c r="AA58" s="512">
        <f>+'NEW Spring CHP by DISC'!AA58/15</f>
        <v>0</v>
      </c>
      <c r="AB58" s="512">
        <f>+'NEW Spring CHP by DISC'!AB58/12</f>
        <v>0</v>
      </c>
      <c r="AC58" s="512">
        <f t="shared" si="52"/>
        <v>28.4</v>
      </c>
      <c r="AD58" s="1403">
        <f t="shared" si="53"/>
        <v>-0.1744186046511628</v>
      </c>
      <c r="AE58" s="328"/>
      <c r="AF58" s="328"/>
      <c r="AG58" s="328"/>
      <c r="AH58" s="328"/>
      <c r="AI58" s="328"/>
      <c r="AJ58" s="328"/>
      <c r="AK58" s="328"/>
      <c r="AL58" s="328"/>
    </row>
    <row r="59" spans="1:38" x14ac:dyDescent="0.25">
      <c r="A59" s="566" t="s">
        <v>986</v>
      </c>
      <c r="B59" s="154">
        <f>+'NEW Spring CHP by DISC'!B59/15</f>
        <v>22.666666666666668</v>
      </c>
      <c r="C59" s="154">
        <f>+'NEW Spring CHP by DISC'!C59/15</f>
        <v>5.4666666666666668</v>
      </c>
      <c r="D59" s="154">
        <f>+'NEW Spring CHP by DISC'!D59/12</f>
        <v>0</v>
      </c>
      <c r="E59" s="745">
        <f t="shared" si="43"/>
        <v>28.133333333333333</v>
      </c>
      <c r="F59" s="154">
        <f>+'NEW Spring CHP by DISC'!F59/15</f>
        <v>29.733333333333334</v>
      </c>
      <c r="G59" s="154">
        <f>+'NEW Spring CHP by DISC'!G59/15</f>
        <v>8.9333333333333336</v>
      </c>
      <c r="H59" s="154">
        <f>+'NEW Spring CHP by DISC'!H59/12</f>
        <v>0</v>
      </c>
      <c r="I59" s="154">
        <f t="shared" si="44"/>
        <v>38.666666666666671</v>
      </c>
      <c r="J59" s="155">
        <f t="shared" si="45"/>
        <v>0.37440758293838883</v>
      </c>
      <c r="K59" s="959">
        <f>+'NEW Spring CHP by DISC'!K59/15</f>
        <v>27.733333333333334</v>
      </c>
      <c r="L59" s="154">
        <f>+'NEW Spring CHP by DISC'!L59/15</f>
        <v>10.466666666666667</v>
      </c>
      <c r="M59" s="154">
        <f>+'NEW Spring CHP by DISC'!M59/12</f>
        <v>0</v>
      </c>
      <c r="N59" s="154">
        <f t="shared" si="46"/>
        <v>38.200000000000003</v>
      </c>
      <c r="O59" s="870">
        <f t="shared" si="47"/>
        <v>-1.2068965517241426E-2</v>
      </c>
      <c r="P59" s="959">
        <f>+'NEW Spring CHP by DISC'!P59/15</f>
        <v>34.6</v>
      </c>
      <c r="Q59" s="154">
        <f>+'NEW Spring CHP by DISC'!Q59/15</f>
        <v>10.466666666666667</v>
      </c>
      <c r="R59" s="154">
        <f>+'NEW Spring CHP by DISC'!R59/12</f>
        <v>0</v>
      </c>
      <c r="S59" s="154">
        <f t="shared" si="48"/>
        <v>45.06666666666667</v>
      </c>
      <c r="T59" s="155">
        <f t="shared" si="49"/>
        <v>0.17975567190226877</v>
      </c>
      <c r="U59" s="154">
        <f>+'NEW Spring CHP by DISC'!U59/15</f>
        <v>36.4</v>
      </c>
      <c r="V59" s="154">
        <f>+'NEW Spring CHP by DISC'!V59/15</f>
        <v>10.533333333333333</v>
      </c>
      <c r="W59" s="154">
        <f>+'NEW Spring CHP by DISC'!W59/12</f>
        <v>0</v>
      </c>
      <c r="X59" s="154">
        <f t="shared" si="50"/>
        <v>46.93333333333333</v>
      </c>
      <c r="Y59" s="155">
        <f t="shared" si="51"/>
        <v>4.1420118343195117E-2</v>
      </c>
      <c r="Z59" s="512">
        <f>+'NEW Spring CHP by DISC'!Z59/15</f>
        <v>29.2</v>
      </c>
      <c r="AA59" s="512">
        <f>+'NEW Spring CHP by DISC'!AA59/15</f>
        <v>8.6666666666666661</v>
      </c>
      <c r="AB59" s="512">
        <f>+'NEW Spring CHP by DISC'!AB59/12</f>
        <v>0</v>
      </c>
      <c r="AC59" s="512">
        <f t="shared" si="52"/>
        <v>37.866666666666667</v>
      </c>
      <c r="AD59" s="1403">
        <f t="shared" si="53"/>
        <v>-0.19318181818181812</v>
      </c>
      <c r="AE59" s="328"/>
      <c r="AF59" s="328"/>
      <c r="AG59" s="328"/>
      <c r="AH59" s="328"/>
      <c r="AI59" s="328"/>
      <c r="AJ59" s="328"/>
      <c r="AK59" s="328"/>
      <c r="AL59" s="328"/>
    </row>
    <row r="60" spans="1:38" s="575" customFormat="1" ht="13.8" x14ac:dyDescent="0.25">
      <c r="A60" s="570" t="s">
        <v>961</v>
      </c>
      <c r="B60" s="611">
        <f t="shared" ref="B60:I60" si="54">SUM(B54:B59)</f>
        <v>67.866666666666674</v>
      </c>
      <c r="C60" s="611">
        <f t="shared" si="54"/>
        <v>43.533333333333339</v>
      </c>
      <c r="D60" s="611">
        <f t="shared" si="54"/>
        <v>0</v>
      </c>
      <c r="E60" s="587">
        <f t="shared" si="54"/>
        <v>111.4</v>
      </c>
      <c r="F60" s="611">
        <f t="shared" si="54"/>
        <v>77.666666666666657</v>
      </c>
      <c r="G60" s="611">
        <f t="shared" si="54"/>
        <v>48.266666666666666</v>
      </c>
      <c r="H60" s="611">
        <f t="shared" si="54"/>
        <v>0</v>
      </c>
      <c r="I60" s="586">
        <f t="shared" si="54"/>
        <v>125.93333333333334</v>
      </c>
      <c r="J60" s="613">
        <f t="shared" si="45"/>
        <v>0.13046080191502094</v>
      </c>
      <c r="K60" s="1259">
        <f>SUM(K54:K59)</f>
        <v>100.73333333333333</v>
      </c>
      <c r="L60" s="611">
        <f>SUM(L54:L59)</f>
        <v>56.6</v>
      </c>
      <c r="M60" s="611">
        <f>SUM(M54:M59)</f>
        <v>0</v>
      </c>
      <c r="N60" s="586">
        <f>SUM(N54:N59)</f>
        <v>157.33333333333334</v>
      </c>
      <c r="O60" s="1264">
        <f t="shared" si="47"/>
        <v>0.2493382742191636</v>
      </c>
      <c r="P60" s="1259">
        <f>SUM(P54:P59)</f>
        <v>116.6</v>
      </c>
      <c r="Q60" s="611">
        <f>SUM(Q54:Q59)</f>
        <v>54.933333333333337</v>
      </c>
      <c r="R60" s="611">
        <f>SUM(R54:R59)</f>
        <v>0</v>
      </c>
      <c r="S60" s="586">
        <f>SUM(S54:S59)</f>
        <v>171.53333333333333</v>
      </c>
      <c r="T60" s="613">
        <f t="shared" si="49"/>
        <v>9.0254237288135516E-2</v>
      </c>
      <c r="U60" s="611">
        <f>SUM(U54:U59)</f>
        <v>119.80000000000001</v>
      </c>
      <c r="V60" s="611">
        <f>SUM(V54:V59)</f>
        <v>49.599999999999994</v>
      </c>
      <c r="W60" s="611">
        <f>SUM(W54:W59)</f>
        <v>0</v>
      </c>
      <c r="X60" s="586">
        <f>SUM(X54:X59)</f>
        <v>169.4</v>
      </c>
      <c r="Y60" s="613">
        <f t="shared" si="51"/>
        <v>-1.2436844150796692E-2</v>
      </c>
      <c r="Z60" s="1411">
        <f>SUM(Z54:Z59)</f>
        <v>101.8</v>
      </c>
      <c r="AA60" s="1411">
        <f>SUM(AA54:AA59)</f>
        <v>48.733333333333327</v>
      </c>
      <c r="AB60" s="1411">
        <f>SUM(AB54:AB59)</f>
        <v>0</v>
      </c>
      <c r="AC60" s="1407">
        <f>SUM(AC54:AC59)</f>
        <v>150.53333333333333</v>
      </c>
      <c r="AD60" s="1405">
        <f t="shared" si="53"/>
        <v>-0.11137347500983868</v>
      </c>
    </row>
    <row r="61" spans="1:38" x14ac:dyDescent="0.25">
      <c r="A61" s="576" t="s">
        <v>413</v>
      </c>
      <c r="B61" s="151"/>
      <c r="C61" s="152"/>
      <c r="D61" s="152"/>
      <c r="E61" s="153"/>
      <c r="F61" s="151"/>
      <c r="G61" s="152"/>
      <c r="H61" s="152"/>
      <c r="I61" s="152"/>
      <c r="J61" s="153"/>
      <c r="K61" s="1254"/>
      <c r="L61" s="152"/>
      <c r="M61" s="152"/>
      <c r="N61" s="152"/>
      <c r="O61" s="1251"/>
      <c r="P61" s="1254"/>
      <c r="Q61" s="152"/>
      <c r="R61" s="152"/>
      <c r="S61" s="152"/>
      <c r="T61" s="153"/>
      <c r="U61" s="151"/>
      <c r="V61" s="152"/>
      <c r="W61" s="152"/>
      <c r="X61" s="152"/>
      <c r="Y61" s="153"/>
      <c r="Z61" s="605"/>
      <c r="AA61" s="578"/>
      <c r="AB61" s="578"/>
      <c r="AC61" s="578"/>
      <c r="AD61" s="518"/>
      <c r="AE61" s="328"/>
      <c r="AF61" s="328"/>
      <c r="AG61" s="328"/>
      <c r="AH61" s="328"/>
      <c r="AI61" s="328"/>
      <c r="AJ61" s="328"/>
      <c r="AK61" s="328"/>
      <c r="AL61" s="328"/>
    </row>
    <row r="62" spans="1:38" x14ac:dyDescent="0.25">
      <c r="A62" s="566" t="s">
        <v>983</v>
      </c>
      <c r="B62" s="154">
        <f>+'NEW Spring CHP by DISC'!B62/15</f>
        <v>2.4</v>
      </c>
      <c r="C62" s="154">
        <f>+'NEW Spring CHP by DISC'!C62/15</f>
        <v>1.2666666666666666</v>
      </c>
      <c r="D62" s="154">
        <f>+'NEW Spring CHP by DISC'!D62/12</f>
        <v>0</v>
      </c>
      <c r="E62" s="745">
        <f>SUM(B62:D62)</f>
        <v>3.6666666666666665</v>
      </c>
      <c r="F62" s="154">
        <f>+'NEW Spring CHP by DISC'!F62/15</f>
        <v>3.1333333333333333</v>
      </c>
      <c r="G62" s="154">
        <f>+'NEW Spring CHP by DISC'!G62/15</f>
        <v>1.4666666666666666</v>
      </c>
      <c r="H62" s="154">
        <f>+'NEW Spring CHP by DISC'!H62/12</f>
        <v>0</v>
      </c>
      <c r="I62" s="154">
        <f>SUM(F62:H62)</f>
        <v>4.5999999999999996</v>
      </c>
      <c r="J62" s="155">
        <f t="shared" ref="J62:J67" si="55">IF(E62&gt;0,(I62-E62)/E62,(IF(I62=0,"N/A",100%)))</f>
        <v>0.25454545454545452</v>
      </c>
      <c r="K62" s="959">
        <f>+'NEW Spring CHP by DISC'!K62/15</f>
        <v>2.2666666666666666</v>
      </c>
      <c r="L62" s="154">
        <f>+'NEW Spring CHP by DISC'!L62/15</f>
        <v>1.3333333333333333</v>
      </c>
      <c r="M62" s="154">
        <f>+'NEW Spring CHP by DISC'!M62/12</f>
        <v>0</v>
      </c>
      <c r="N62" s="154">
        <f>SUM(K62:M62)</f>
        <v>3.5999999999999996</v>
      </c>
      <c r="O62" s="870">
        <f t="shared" ref="O62:O67" si="56">IF(I62&gt;0,(N62-I62)/I62,(IF(N62=0,"N/A",100%)))</f>
        <v>-0.21739130434782611</v>
      </c>
      <c r="P62" s="959">
        <f>+'NEW Spring CHP by DISC'!P62/15</f>
        <v>2.6</v>
      </c>
      <c r="Q62" s="154">
        <f>+'NEW Spring CHP by DISC'!Q62/15</f>
        <v>1.2</v>
      </c>
      <c r="R62" s="154">
        <f>+'NEW Spring CHP by DISC'!R62/12</f>
        <v>0</v>
      </c>
      <c r="S62" s="154">
        <f>SUM(P62:R62)</f>
        <v>3.8</v>
      </c>
      <c r="T62" s="155">
        <f t="shared" ref="T62:T67" si="57">IF(N62&gt;0,(S62-N62)/N62,(IF(S62=0,"N/A",100%)))</f>
        <v>5.5555555555555608E-2</v>
      </c>
      <c r="U62" s="154">
        <f>+'NEW Spring CHP by DISC'!U62/15</f>
        <v>2.3333333333333335</v>
      </c>
      <c r="V62" s="154">
        <f>+'NEW Spring CHP by DISC'!V62/15</f>
        <v>1.2666666666666666</v>
      </c>
      <c r="W62" s="154">
        <f>+'NEW Spring CHP by DISC'!W62/12</f>
        <v>0</v>
      </c>
      <c r="X62" s="154">
        <f>SUM(U62:W62)</f>
        <v>3.6</v>
      </c>
      <c r="Y62" s="155">
        <f t="shared" ref="Y62:Y67" si="58">IF(S62&gt;0,(X62-S62)/S62,(IF(X62=0,"N/A",100%)))</f>
        <v>-5.2631578947368356E-2</v>
      </c>
      <c r="Z62" s="512">
        <f>+'NEW Spring CHP by DISC'!Z62/15</f>
        <v>0</v>
      </c>
      <c r="AA62" s="512">
        <f>+'NEW Spring CHP by DISC'!AA62/15</f>
        <v>0</v>
      </c>
      <c r="AB62" s="512">
        <f>+'NEW Spring CHP by DISC'!AB62/12</f>
        <v>0</v>
      </c>
      <c r="AC62" s="512">
        <f>SUM(Z62:AB62)</f>
        <v>0</v>
      </c>
      <c r="AD62" s="1403">
        <f t="shared" ref="AD62:AD67" si="59">IF(X62&gt;0,(AC62-X62)/X62,(IF(AC62=0,"N/A",100%)))</f>
        <v>-1</v>
      </c>
      <c r="AE62" s="328"/>
      <c r="AF62" s="328"/>
      <c r="AG62" s="328"/>
      <c r="AH62" s="328"/>
      <c r="AI62" s="328"/>
      <c r="AJ62" s="328"/>
      <c r="AK62" s="328"/>
      <c r="AL62" s="328"/>
    </row>
    <row r="63" spans="1:38" x14ac:dyDescent="0.25">
      <c r="A63" s="566" t="s">
        <v>984</v>
      </c>
      <c r="B63" s="154">
        <f>+'NEW Spring CHP by DISC'!B63/15</f>
        <v>46.93333333333333</v>
      </c>
      <c r="C63" s="154">
        <f>+'NEW Spring CHP by DISC'!C63/15</f>
        <v>9.6666666666666661</v>
      </c>
      <c r="D63" s="154">
        <f>+'NEW Spring CHP by DISC'!D63/12</f>
        <v>0</v>
      </c>
      <c r="E63" s="745">
        <f>SUM(B63:D63)</f>
        <v>56.599999999999994</v>
      </c>
      <c r="F63" s="154">
        <f>+'NEW Spring CHP by DISC'!F63/15</f>
        <v>47.266666666666666</v>
      </c>
      <c r="G63" s="154">
        <f>+'NEW Spring CHP by DISC'!G63/15</f>
        <v>10.8</v>
      </c>
      <c r="H63" s="154">
        <f>+'NEW Spring CHP by DISC'!H63/12</f>
        <v>0</v>
      </c>
      <c r="I63" s="154">
        <f>SUM(F63:H63)</f>
        <v>58.066666666666663</v>
      </c>
      <c r="J63" s="155">
        <f t="shared" si="55"/>
        <v>2.5912838633686725E-2</v>
      </c>
      <c r="K63" s="959">
        <f>+'NEW Spring CHP by DISC'!K63/15</f>
        <v>58</v>
      </c>
      <c r="L63" s="154">
        <f>+'NEW Spring CHP by DISC'!L63/15</f>
        <v>10.333333333333334</v>
      </c>
      <c r="M63" s="154">
        <f>+'NEW Spring CHP by DISC'!M63/12</f>
        <v>0</v>
      </c>
      <c r="N63" s="154">
        <f>SUM(K63:M63)</f>
        <v>68.333333333333329</v>
      </c>
      <c r="O63" s="870">
        <f t="shared" si="56"/>
        <v>0.17680826636050517</v>
      </c>
      <c r="P63" s="959">
        <f>+'NEW Spring CHP by DISC'!P63/15</f>
        <v>51.866666666666667</v>
      </c>
      <c r="Q63" s="154">
        <f>+'NEW Spring CHP by DISC'!Q63/15</f>
        <v>5.4</v>
      </c>
      <c r="R63" s="154">
        <f>+'NEW Spring CHP by DISC'!R63/12</f>
        <v>0</v>
      </c>
      <c r="S63" s="154">
        <f>SUM(P63:R63)</f>
        <v>57.266666666666666</v>
      </c>
      <c r="T63" s="155">
        <f t="shared" si="57"/>
        <v>-0.16195121951219507</v>
      </c>
      <c r="U63" s="154">
        <f>+'NEW Spring CHP by DISC'!U63/15</f>
        <v>39.533333333333331</v>
      </c>
      <c r="V63" s="154">
        <f>+'NEW Spring CHP by DISC'!V63/15</f>
        <v>8.2666666666666675</v>
      </c>
      <c r="W63" s="154">
        <f>+'NEW Spring CHP by DISC'!W63/12</f>
        <v>0</v>
      </c>
      <c r="X63" s="154">
        <f>SUM(U63:W63)</f>
        <v>47.8</v>
      </c>
      <c r="Y63" s="155">
        <f t="shared" si="58"/>
        <v>-0.16530849825378349</v>
      </c>
      <c r="Z63" s="512">
        <f>+'NEW Spring CHP by DISC'!Z63/15</f>
        <v>36.733333333333334</v>
      </c>
      <c r="AA63" s="512">
        <f>+'NEW Spring CHP by DISC'!AA63/15</f>
        <v>7.4666666666666668</v>
      </c>
      <c r="AB63" s="512">
        <f>+'NEW Spring CHP by DISC'!AB63/12</f>
        <v>0</v>
      </c>
      <c r="AC63" s="512">
        <f>SUM(Z63:AB63)</f>
        <v>44.2</v>
      </c>
      <c r="AD63" s="1403">
        <f t="shared" si="59"/>
        <v>-7.5313807531380644E-2</v>
      </c>
      <c r="AE63" s="328"/>
      <c r="AF63" s="328"/>
      <c r="AG63" s="328"/>
      <c r="AH63" s="328"/>
      <c r="AI63" s="328"/>
      <c r="AJ63" s="328"/>
      <c r="AK63" s="328"/>
      <c r="AL63" s="328"/>
    </row>
    <row r="64" spans="1:38" x14ac:dyDescent="0.25">
      <c r="A64" s="566" t="s">
        <v>1518</v>
      </c>
      <c r="B64" s="154">
        <f>+'NEW Spring CHP by DISC'!B64/15</f>
        <v>0</v>
      </c>
      <c r="C64" s="154">
        <f>+'NEW Spring CHP by DISC'!C64/15</f>
        <v>0</v>
      </c>
      <c r="D64" s="154">
        <f>+'NEW Spring CHP by DISC'!D64/12</f>
        <v>0</v>
      </c>
      <c r="E64" s="745">
        <f>SUM(B64:D64)</f>
        <v>0</v>
      </c>
      <c r="F64" s="154">
        <f>+'NEW Spring CHP by DISC'!F64/15</f>
        <v>0</v>
      </c>
      <c r="G64" s="154">
        <f>+'NEW Spring CHP by DISC'!G64/15</f>
        <v>0</v>
      </c>
      <c r="H64" s="154">
        <f>+'NEW Spring CHP by DISC'!H64/12</f>
        <v>0</v>
      </c>
      <c r="I64" s="154">
        <f>SUM(F64:H64)</f>
        <v>0</v>
      </c>
      <c r="J64" s="155" t="str">
        <f t="shared" si="55"/>
        <v>N/A</v>
      </c>
      <c r="K64" s="959">
        <f>+'NEW Spring CHP by DISC'!K64/15</f>
        <v>0</v>
      </c>
      <c r="L64" s="154">
        <f>+'NEW Spring CHP by DISC'!L64/15</f>
        <v>0</v>
      </c>
      <c r="M64" s="154">
        <f>+'NEW Spring CHP by DISC'!M64/12</f>
        <v>0</v>
      </c>
      <c r="N64" s="154">
        <f>SUM(K64:M64)</f>
        <v>0</v>
      </c>
      <c r="O64" s="870" t="str">
        <f t="shared" si="56"/>
        <v>N/A</v>
      </c>
      <c r="P64" s="959">
        <f>+'NEW Spring CHP by DISC'!P64/15</f>
        <v>0</v>
      </c>
      <c r="Q64" s="154">
        <f>+'NEW Spring CHP by DISC'!Q64/15</f>
        <v>0</v>
      </c>
      <c r="R64" s="154">
        <f>+'NEW Spring CHP by DISC'!R64/12</f>
        <v>0</v>
      </c>
      <c r="S64" s="154">
        <f>SUM(P64:R64)</f>
        <v>0</v>
      </c>
      <c r="T64" s="155" t="str">
        <f t="shared" si="57"/>
        <v>N/A</v>
      </c>
      <c r="U64" s="154">
        <f>+'NEW Spring CHP by DISC'!U64/15</f>
        <v>0</v>
      </c>
      <c r="V64" s="154">
        <f>+'NEW Spring CHP by DISC'!V64/15</f>
        <v>0</v>
      </c>
      <c r="W64" s="154">
        <f>+'NEW Spring CHP by DISC'!W64/12</f>
        <v>0</v>
      </c>
      <c r="X64" s="154">
        <f>SUM(U64:W64)</f>
        <v>0</v>
      </c>
      <c r="Y64" s="155" t="str">
        <f t="shared" si="58"/>
        <v>N/A</v>
      </c>
      <c r="Z64" s="512">
        <f>+'NEW Spring CHP by DISC'!Z64/15</f>
        <v>0.46666666666666667</v>
      </c>
      <c r="AA64" s="512">
        <f>+'NEW Spring CHP by DISC'!AA64/15</f>
        <v>0.46666666666666667</v>
      </c>
      <c r="AB64" s="512">
        <f>+'NEW Spring CHP by DISC'!AB64/12</f>
        <v>0</v>
      </c>
      <c r="AC64" s="512">
        <f>SUM(Z64:AB64)</f>
        <v>0.93333333333333335</v>
      </c>
      <c r="AD64" s="1403">
        <f t="shared" si="59"/>
        <v>1</v>
      </c>
      <c r="AE64" s="328"/>
      <c r="AF64" s="328"/>
      <c r="AG64" s="328"/>
      <c r="AH64" s="328"/>
      <c r="AI64" s="328"/>
      <c r="AJ64" s="328"/>
      <c r="AK64" s="328"/>
      <c r="AL64" s="328"/>
    </row>
    <row r="65" spans="1:38" x14ac:dyDescent="0.25">
      <c r="A65" s="566" t="s">
        <v>1519</v>
      </c>
      <c r="B65" s="154">
        <f>+'NEW Spring CHP by DISC'!B65/15</f>
        <v>0</v>
      </c>
      <c r="C65" s="154">
        <f>+'NEW Spring CHP by DISC'!C65/15</f>
        <v>0</v>
      </c>
      <c r="D65" s="154">
        <f>+'NEW Spring CHP by DISC'!D65/12</f>
        <v>0</v>
      </c>
      <c r="E65" s="745">
        <f>SUM(B65:D65)</f>
        <v>0</v>
      </c>
      <c r="F65" s="154">
        <f>+'NEW Spring CHP by DISC'!F65/15</f>
        <v>0</v>
      </c>
      <c r="G65" s="154">
        <f>+'NEW Spring CHP by DISC'!G65/15</f>
        <v>0</v>
      </c>
      <c r="H65" s="154">
        <f>+'NEW Spring CHP by DISC'!H65/12</f>
        <v>0</v>
      </c>
      <c r="I65" s="154">
        <f>SUM(F65:H65)</f>
        <v>0</v>
      </c>
      <c r="J65" s="155" t="str">
        <f t="shared" si="55"/>
        <v>N/A</v>
      </c>
      <c r="K65" s="959">
        <f>+'NEW Spring CHP by DISC'!K65/15</f>
        <v>0</v>
      </c>
      <c r="L65" s="154">
        <f>+'NEW Spring CHP by DISC'!L65/15</f>
        <v>0</v>
      </c>
      <c r="M65" s="154">
        <f>+'NEW Spring CHP by DISC'!M65/12</f>
        <v>0</v>
      </c>
      <c r="N65" s="154">
        <f>SUM(K65:M65)</f>
        <v>0</v>
      </c>
      <c r="O65" s="870" t="str">
        <f t="shared" si="56"/>
        <v>N/A</v>
      </c>
      <c r="P65" s="959">
        <f>+'NEW Spring CHP by DISC'!P65/15</f>
        <v>0</v>
      </c>
      <c r="Q65" s="154">
        <f>+'NEW Spring CHP by DISC'!Q65/15</f>
        <v>0</v>
      </c>
      <c r="R65" s="154">
        <f>+'NEW Spring CHP by DISC'!R65/12</f>
        <v>0</v>
      </c>
      <c r="S65" s="154">
        <f>SUM(P65:R65)</f>
        <v>0</v>
      </c>
      <c r="T65" s="155" t="str">
        <f t="shared" si="57"/>
        <v>N/A</v>
      </c>
      <c r="U65" s="154">
        <f>+'NEW Spring CHP by DISC'!U65/15</f>
        <v>0</v>
      </c>
      <c r="V65" s="154">
        <f>+'NEW Spring CHP by DISC'!V65/15</f>
        <v>0</v>
      </c>
      <c r="W65" s="154">
        <f>+'NEW Spring CHP by DISC'!W65/12</f>
        <v>0</v>
      </c>
      <c r="X65" s="154">
        <f>SUM(U65:W65)</f>
        <v>0</v>
      </c>
      <c r="Y65" s="155" t="str">
        <f t="shared" si="58"/>
        <v>N/A</v>
      </c>
      <c r="Z65" s="512">
        <f>+'NEW Spring CHP by DISC'!Z65/15</f>
        <v>1.6666666666666667</v>
      </c>
      <c r="AA65" s="512">
        <f>+'NEW Spring CHP by DISC'!AA65/15</f>
        <v>0.6</v>
      </c>
      <c r="AB65" s="512">
        <f>+'NEW Spring CHP by DISC'!AB65/12</f>
        <v>0</v>
      </c>
      <c r="AC65" s="512">
        <f>SUM(Z65:AB65)</f>
        <v>2.2666666666666666</v>
      </c>
      <c r="AD65" s="1403">
        <f t="shared" si="59"/>
        <v>1</v>
      </c>
      <c r="AE65" s="328"/>
      <c r="AF65" s="328"/>
      <c r="AG65" s="328"/>
      <c r="AH65" s="328"/>
      <c r="AI65" s="328"/>
      <c r="AJ65" s="328"/>
      <c r="AK65" s="328"/>
      <c r="AL65" s="328"/>
    </row>
    <row r="66" spans="1:38" x14ac:dyDescent="0.25">
      <c r="A66" s="566" t="s">
        <v>1520</v>
      </c>
      <c r="B66" s="154">
        <f>+'NEW Spring CHP by DISC'!B66/15</f>
        <v>0</v>
      </c>
      <c r="C66" s="154">
        <f>+'NEW Spring CHP by DISC'!C66/15</f>
        <v>0</v>
      </c>
      <c r="D66" s="154">
        <f>+'NEW Spring CHP by DISC'!D66/12</f>
        <v>0</v>
      </c>
      <c r="E66" s="745">
        <f>SUM(B66:D66)</f>
        <v>0</v>
      </c>
      <c r="F66" s="154">
        <f>+'NEW Spring CHP by DISC'!F66/15</f>
        <v>0</v>
      </c>
      <c r="G66" s="154">
        <f>+'NEW Spring CHP by DISC'!G66/15</f>
        <v>0</v>
      </c>
      <c r="H66" s="154">
        <f>+'NEW Spring CHP by DISC'!H66/12</f>
        <v>0</v>
      </c>
      <c r="I66" s="154">
        <f>SUM(F66:H66)</f>
        <v>0</v>
      </c>
      <c r="J66" s="155" t="str">
        <f t="shared" si="55"/>
        <v>N/A</v>
      </c>
      <c r="K66" s="959">
        <f>+'NEW Spring CHP by DISC'!K66/15</f>
        <v>0</v>
      </c>
      <c r="L66" s="154">
        <f>+'NEW Spring CHP by DISC'!L66/15</f>
        <v>0</v>
      </c>
      <c r="M66" s="154">
        <f>+'NEW Spring CHP by DISC'!M66/12</f>
        <v>0</v>
      </c>
      <c r="N66" s="154">
        <f>SUM(K66:M66)</f>
        <v>0</v>
      </c>
      <c r="O66" s="870" t="str">
        <f t="shared" si="56"/>
        <v>N/A</v>
      </c>
      <c r="P66" s="959">
        <f>+'NEW Spring CHP by DISC'!P66/15</f>
        <v>0</v>
      </c>
      <c r="Q66" s="154">
        <f>+'NEW Spring CHP by DISC'!Q66/15</f>
        <v>0</v>
      </c>
      <c r="R66" s="154">
        <f>+'NEW Spring CHP by DISC'!R66/12</f>
        <v>0</v>
      </c>
      <c r="S66" s="154">
        <f>SUM(P66:R66)</f>
        <v>0</v>
      </c>
      <c r="T66" s="155" t="str">
        <f t="shared" si="57"/>
        <v>N/A</v>
      </c>
      <c r="U66" s="154">
        <f>+'NEW Spring CHP by DISC'!U66/15</f>
        <v>0</v>
      </c>
      <c r="V66" s="154">
        <f>+'NEW Spring CHP by DISC'!V66/15</f>
        <v>0</v>
      </c>
      <c r="W66" s="154">
        <f>+'NEW Spring CHP by DISC'!W66/12</f>
        <v>0</v>
      </c>
      <c r="X66" s="154">
        <f>SUM(U66:W66)</f>
        <v>0</v>
      </c>
      <c r="Y66" s="155" t="str">
        <f t="shared" si="58"/>
        <v>N/A</v>
      </c>
      <c r="Z66" s="512">
        <f>+'NEW Spring CHP by DISC'!Z66/15</f>
        <v>0.93333333333333335</v>
      </c>
      <c r="AA66" s="512">
        <f>+'NEW Spring CHP by DISC'!AA66/15</f>
        <v>0.4</v>
      </c>
      <c r="AB66" s="512">
        <f>+'NEW Spring CHP by DISC'!AB66/12</f>
        <v>0</v>
      </c>
      <c r="AC66" s="512">
        <f>SUM(Z66:AB66)</f>
        <v>1.3333333333333335</v>
      </c>
      <c r="AD66" s="1403">
        <f t="shared" si="59"/>
        <v>1</v>
      </c>
      <c r="AE66" s="328"/>
      <c r="AF66" s="328"/>
      <c r="AG66" s="328"/>
      <c r="AH66" s="328"/>
      <c r="AI66" s="328"/>
      <c r="AJ66" s="328"/>
      <c r="AK66" s="328"/>
      <c r="AL66" s="328"/>
    </row>
    <row r="67" spans="1:38" s="575" customFormat="1" ht="13.8" x14ac:dyDescent="0.25">
      <c r="A67" s="615" t="s">
        <v>961</v>
      </c>
      <c r="B67" s="611">
        <f t="shared" ref="B67:I67" si="60">SUM(B62:B66)</f>
        <v>49.333333333333329</v>
      </c>
      <c r="C67" s="611">
        <f t="shared" si="60"/>
        <v>10.933333333333334</v>
      </c>
      <c r="D67" s="611">
        <f t="shared" si="60"/>
        <v>0</v>
      </c>
      <c r="E67" s="587">
        <f t="shared" si="60"/>
        <v>60.266666666666659</v>
      </c>
      <c r="F67" s="611">
        <f t="shared" si="60"/>
        <v>50.4</v>
      </c>
      <c r="G67" s="611">
        <f t="shared" si="60"/>
        <v>12.266666666666667</v>
      </c>
      <c r="H67" s="611">
        <f t="shared" si="60"/>
        <v>0</v>
      </c>
      <c r="I67" s="611">
        <f t="shared" si="60"/>
        <v>62.666666666666664</v>
      </c>
      <c r="J67" s="613">
        <f t="shared" si="55"/>
        <v>3.9823008849557619E-2</v>
      </c>
      <c r="K67" s="611">
        <f>SUM(K62:K66)</f>
        <v>60.266666666666666</v>
      </c>
      <c r="L67" s="611">
        <f>SUM(L62:L66)</f>
        <v>11.666666666666668</v>
      </c>
      <c r="M67" s="611">
        <f>SUM(M62:M66)</f>
        <v>0</v>
      </c>
      <c r="N67" s="611">
        <f>SUM(N62:N66)</f>
        <v>71.933333333333323</v>
      </c>
      <c r="O67" s="588">
        <f t="shared" si="56"/>
        <v>0.1478723404255318</v>
      </c>
      <c r="P67" s="611">
        <f>SUM(P62:P66)</f>
        <v>54.466666666666669</v>
      </c>
      <c r="Q67" s="611">
        <f>SUM(Q62:Q66)</f>
        <v>6.6000000000000005</v>
      </c>
      <c r="R67" s="611">
        <f>SUM(R62:R66)</f>
        <v>0</v>
      </c>
      <c r="S67" s="611">
        <f>SUM(S62:S66)</f>
        <v>61.066666666666663</v>
      </c>
      <c r="T67" s="613">
        <f t="shared" si="57"/>
        <v>-0.15106580166821124</v>
      </c>
      <c r="U67" s="611">
        <f>SUM(U62:U66)</f>
        <v>41.866666666666667</v>
      </c>
      <c r="V67" s="611">
        <f>SUM(V62:V66)</f>
        <v>9.533333333333335</v>
      </c>
      <c r="W67" s="611">
        <f>SUM(W62:W66)</f>
        <v>0</v>
      </c>
      <c r="X67" s="611">
        <f>SUM(X62:X66)</f>
        <v>51.4</v>
      </c>
      <c r="Y67" s="613">
        <f t="shared" si="58"/>
        <v>-0.15829694323144103</v>
      </c>
      <c r="Z67" s="611">
        <f>SUM(Z62:Z66)</f>
        <v>39.799999999999997</v>
      </c>
      <c r="AA67" s="611">
        <f>SUM(AA62:AA66)</f>
        <v>8.9333333333333336</v>
      </c>
      <c r="AB67" s="611">
        <f>SUM(AB62:AB66)</f>
        <v>0</v>
      </c>
      <c r="AC67" s="611">
        <f>SUM(AC62:AC66)</f>
        <v>48.733333333333334</v>
      </c>
      <c r="AD67" s="1405">
        <f t="shared" si="59"/>
        <v>-5.1880674448767788E-2</v>
      </c>
    </row>
    <row r="68" spans="1:38" x14ac:dyDescent="0.25">
      <c r="A68" s="564" t="s">
        <v>428</v>
      </c>
      <c r="B68" s="151"/>
      <c r="C68" s="152"/>
      <c r="D68" s="152"/>
      <c r="E68" s="153"/>
      <c r="F68" s="151"/>
      <c r="G68" s="152"/>
      <c r="H68" s="152"/>
      <c r="I68" s="152"/>
      <c r="J68" s="153"/>
      <c r="K68" s="1254"/>
      <c r="L68" s="152"/>
      <c r="M68" s="152"/>
      <c r="N68" s="152"/>
      <c r="O68" s="1251"/>
      <c r="P68" s="1254"/>
      <c r="Q68" s="152"/>
      <c r="R68" s="152"/>
      <c r="S68" s="152"/>
      <c r="T68" s="153"/>
      <c r="U68" s="151"/>
      <c r="V68" s="152"/>
      <c r="W68" s="152"/>
      <c r="X68" s="152"/>
      <c r="Y68" s="153"/>
      <c r="Z68" s="605"/>
      <c r="AA68" s="578"/>
      <c r="AB68" s="578"/>
      <c r="AC68" s="578"/>
      <c r="AD68" s="518"/>
      <c r="AE68" s="328"/>
      <c r="AF68" s="328"/>
      <c r="AG68" s="328"/>
      <c r="AH68" s="328"/>
      <c r="AI68" s="328"/>
      <c r="AJ68" s="328"/>
      <c r="AK68" s="328"/>
      <c r="AL68" s="328"/>
    </row>
    <row r="69" spans="1:38" s="372" customFormat="1" x14ac:dyDescent="0.25">
      <c r="A69" s="666" t="s">
        <v>992</v>
      </c>
      <c r="B69" s="154">
        <f>+'NEW Spring CHP by DISC'!B69/15</f>
        <v>0</v>
      </c>
      <c r="C69" s="154">
        <f>+'NEW Spring CHP by DISC'!C69/15</f>
        <v>0</v>
      </c>
      <c r="D69" s="154">
        <f>+'NEW Spring CHP by DISC'!D69/12</f>
        <v>0</v>
      </c>
      <c r="E69" s="745">
        <f>SUM(B69:D69)</f>
        <v>0</v>
      </c>
      <c r="F69" s="154">
        <f>+'NEW Spring CHP by DISC'!F69/15</f>
        <v>5.2</v>
      </c>
      <c r="G69" s="154">
        <f>+'NEW Spring CHP by DISC'!G69/15</f>
        <v>0</v>
      </c>
      <c r="H69" s="154">
        <f>+'NEW Spring CHP by DISC'!H69/12</f>
        <v>0</v>
      </c>
      <c r="I69" s="154">
        <f>SUM(F69:H69)</f>
        <v>5.2</v>
      </c>
      <c r="J69" s="155">
        <f t="shared" ref="J69:J74" si="61">IF(E69&gt;0,(I69-E69)/E69,(IF(I69=0,"N/A",100%)))</f>
        <v>1</v>
      </c>
      <c r="K69" s="959">
        <f>+'NEW Spring CHP by DISC'!K69/15</f>
        <v>0</v>
      </c>
      <c r="L69" s="154">
        <f>+'NEW Spring CHP by DISC'!L69/15</f>
        <v>0</v>
      </c>
      <c r="M69" s="154">
        <f>+'NEW Spring CHP by DISC'!M69/12</f>
        <v>0</v>
      </c>
      <c r="N69" s="154">
        <f>SUM(K69:M69)</f>
        <v>0</v>
      </c>
      <c r="O69" s="870">
        <f t="shared" ref="O69:O74" si="62">IF(I69&gt;0,(N69-I69)/I69,(IF(N69=0,"N/A",100%)))</f>
        <v>-1</v>
      </c>
      <c r="P69" s="959">
        <f>+'NEW Spring CHP by DISC'!P69/15</f>
        <v>7.4</v>
      </c>
      <c r="Q69" s="154">
        <f>+'NEW Spring CHP by DISC'!Q69/15</f>
        <v>0</v>
      </c>
      <c r="R69" s="154">
        <f>+'NEW Spring CHP by DISC'!R69/12</f>
        <v>0</v>
      </c>
      <c r="S69" s="154">
        <f>SUM(P69:R69)</f>
        <v>7.4</v>
      </c>
      <c r="T69" s="155">
        <f t="shared" ref="T69:T74" si="63">IF(N69&gt;0,(S69-N69)/N69,(IF(S69=0,"N/A",100%)))</f>
        <v>1</v>
      </c>
      <c r="U69" s="154">
        <f>+'NEW Spring CHP by DISC'!U69/15</f>
        <v>7</v>
      </c>
      <c r="V69" s="154">
        <f>+'NEW Spring CHP by DISC'!V69/15</f>
        <v>0</v>
      </c>
      <c r="W69" s="154">
        <f>+'NEW Spring CHP by DISC'!W69/12</f>
        <v>0</v>
      </c>
      <c r="X69" s="154">
        <f>SUM(U69:W69)</f>
        <v>7</v>
      </c>
      <c r="Y69" s="155">
        <f t="shared" ref="Y69:Y74" si="64">IF(S69&gt;0,(X69-S69)/S69,(IF(X69=0,"N/A",100%)))</f>
        <v>-5.4054054054054099E-2</v>
      </c>
      <c r="Z69" s="512">
        <f>+'NEW Spring CHP by DISC'!Z69/15</f>
        <v>5</v>
      </c>
      <c r="AA69" s="512">
        <f>+'NEW Spring CHP by DISC'!AA69/15</f>
        <v>0</v>
      </c>
      <c r="AB69" s="512">
        <f>+'NEW Spring CHP by DISC'!AB69/12</f>
        <v>0</v>
      </c>
      <c r="AC69" s="512">
        <f>SUM(Z69:AB69)</f>
        <v>5</v>
      </c>
      <c r="AD69" s="1403">
        <f t="shared" ref="AD69:AD74" si="65">IF(X69&gt;0,(AC69-X69)/X69,(IF(AC69=0,"N/A",100%)))</f>
        <v>-0.2857142857142857</v>
      </c>
    </row>
    <row r="70" spans="1:38" x14ac:dyDescent="0.25">
      <c r="A70" s="566" t="s">
        <v>987</v>
      </c>
      <c r="B70" s="154">
        <f>+'NEW Spring CHP by DISC'!B70/15</f>
        <v>52.6</v>
      </c>
      <c r="C70" s="154">
        <f>+'NEW Spring CHP by DISC'!C70/15</f>
        <v>33.200000000000003</v>
      </c>
      <c r="D70" s="154">
        <f>+'NEW Spring CHP by DISC'!D70/12</f>
        <v>0</v>
      </c>
      <c r="E70" s="745">
        <f>SUM(B70:D70)</f>
        <v>85.800000000000011</v>
      </c>
      <c r="F70" s="154">
        <f>+'NEW Spring CHP by DISC'!F70/15</f>
        <v>65.599999999999994</v>
      </c>
      <c r="G70" s="154">
        <f>+'NEW Spring CHP by DISC'!G70/15</f>
        <v>27.666666666666668</v>
      </c>
      <c r="H70" s="154">
        <f>+'NEW Spring CHP by DISC'!H70/12</f>
        <v>0</v>
      </c>
      <c r="I70" s="154">
        <f>SUM(F70:H70)</f>
        <v>93.266666666666666</v>
      </c>
      <c r="J70" s="155">
        <f t="shared" si="61"/>
        <v>8.7024087024086871E-2</v>
      </c>
      <c r="K70" s="959">
        <f>+'NEW Spring CHP by DISC'!K70/15</f>
        <v>83</v>
      </c>
      <c r="L70" s="154">
        <f>+'NEW Spring CHP by DISC'!L70/15</f>
        <v>35</v>
      </c>
      <c r="M70" s="154">
        <f>+'NEW Spring CHP by DISC'!M70/12</f>
        <v>0</v>
      </c>
      <c r="N70" s="154">
        <f>SUM(K70:M70)</f>
        <v>118</v>
      </c>
      <c r="O70" s="870">
        <f t="shared" si="62"/>
        <v>0.26518942101501075</v>
      </c>
      <c r="P70" s="959">
        <f>+'NEW Spring CHP by DISC'!P70/15</f>
        <v>87.8</v>
      </c>
      <c r="Q70" s="154">
        <f>+'NEW Spring CHP by DISC'!Q70/15</f>
        <v>22.6</v>
      </c>
      <c r="R70" s="154">
        <f>+'NEW Spring CHP by DISC'!R70/12</f>
        <v>0</v>
      </c>
      <c r="S70" s="154">
        <f>SUM(P70:R70)</f>
        <v>110.4</v>
      </c>
      <c r="T70" s="155">
        <f t="shared" si="63"/>
        <v>-6.4406779661016905E-2</v>
      </c>
      <c r="U70" s="154">
        <f>+'NEW Spring CHP by DISC'!U70/15</f>
        <v>69</v>
      </c>
      <c r="V70" s="154">
        <f>+'NEW Spring CHP by DISC'!V70/15</f>
        <v>29</v>
      </c>
      <c r="W70" s="154">
        <f>+'NEW Spring CHP by DISC'!W70/12</f>
        <v>0</v>
      </c>
      <c r="X70" s="154">
        <f>SUM(U70:W70)</f>
        <v>98</v>
      </c>
      <c r="Y70" s="155">
        <f t="shared" si="64"/>
        <v>-0.11231884057971019</v>
      </c>
      <c r="Z70" s="512">
        <f>+'NEW Spring CHP by DISC'!Z70/15</f>
        <v>66.400000000000006</v>
      </c>
      <c r="AA70" s="512">
        <f>+'NEW Spring CHP by DISC'!AA70/15</f>
        <v>37.799999999999997</v>
      </c>
      <c r="AB70" s="512">
        <f>+'NEW Spring CHP by DISC'!AB70/12</f>
        <v>0</v>
      </c>
      <c r="AC70" s="512">
        <f>SUM(Z70:AB70)</f>
        <v>104.2</v>
      </c>
      <c r="AD70" s="1403">
        <f t="shared" si="65"/>
        <v>6.3265306122449003E-2</v>
      </c>
      <c r="AE70" s="328"/>
      <c r="AF70" s="328"/>
      <c r="AG70" s="328"/>
      <c r="AH70" s="328"/>
      <c r="AI70" s="328"/>
      <c r="AJ70" s="328"/>
      <c r="AK70" s="328"/>
      <c r="AL70" s="328"/>
    </row>
    <row r="71" spans="1:38" x14ac:dyDescent="0.25">
      <c r="A71" s="566" t="s">
        <v>993</v>
      </c>
      <c r="B71" s="154">
        <f>+'NEW Spring CHP by DISC'!B71/15</f>
        <v>0</v>
      </c>
      <c r="C71" s="154">
        <f>+'NEW Spring CHP by DISC'!C71/15</f>
        <v>23.6</v>
      </c>
      <c r="D71" s="154">
        <f>+'NEW Spring CHP by DISC'!D71/12</f>
        <v>0</v>
      </c>
      <c r="E71" s="745">
        <f>SUM(B71:D71)</f>
        <v>23.6</v>
      </c>
      <c r="F71" s="154">
        <f>+'NEW Spring CHP by DISC'!F71/15</f>
        <v>0</v>
      </c>
      <c r="G71" s="154">
        <f>+'NEW Spring CHP by DISC'!G71/15</f>
        <v>19.8</v>
      </c>
      <c r="H71" s="154">
        <f>+'NEW Spring CHP by DISC'!H71/12</f>
        <v>0</v>
      </c>
      <c r="I71" s="154">
        <f>SUM(F71:H71)</f>
        <v>19.8</v>
      </c>
      <c r="J71" s="155">
        <f t="shared" si="61"/>
        <v>-0.16101694915254239</v>
      </c>
      <c r="K71" s="959">
        <f>+'NEW Spring CHP by DISC'!K71/15</f>
        <v>0</v>
      </c>
      <c r="L71" s="154">
        <f>+'NEW Spring CHP by DISC'!L71/15</f>
        <v>13.6</v>
      </c>
      <c r="M71" s="154">
        <f>+'NEW Spring CHP by DISC'!M71/12</f>
        <v>0</v>
      </c>
      <c r="N71" s="154">
        <f>SUM(K71:M71)</f>
        <v>13.6</v>
      </c>
      <c r="O71" s="870">
        <f t="shared" si="62"/>
        <v>-0.31313131313131315</v>
      </c>
      <c r="P71" s="959">
        <f>+'NEW Spring CHP by DISC'!P71/15</f>
        <v>0</v>
      </c>
      <c r="Q71" s="154">
        <f>+'NEW Spring CHP by DISC'!Q71/15</f>
        <v>7</v>
      </c>
      <c r="R71" s="154">
        <f>+'NEW Spring CHP by DISC'!R71/12</f>
        <v>0</v>
      </c>
      <c r="S71" s="154">
        <f>SUM(P71:R71)</f>
        <v>7</v>
      </c>
      <c r="T71" s="155">
        <f t="shared" si="63"/>
        <v>-0.48529411764705882</v>
      </c>
      <c r="U71" s="154">
        <f>+'NEW Spring CHP by DISC'!U71/15</f>
        <v>11.2</v>
      </c>
      <c r="V71" s="154">
        <f>+'NEW Spring CHP by DISC'!V71/15</f>
        <v>5.4</v>
      </c>
      <c r="W71" s="154">
        <f>+'NEW Spring CHP by DISC'!W71/12</f>
        <v>0</v>
      </c>
      <c r="X71" s="154">
        <f>SUM(U71:W71)</f>
        <v>16.600000000000001</v>
      </c>
      <c r="Y71" s="155">
        <f t="shared" si="64"/>
        <v>1.3714285714285717</v>
      </c>
      <c r="Z71" s="512">
        <f>+'NEW Spring CHP by DISC'!Z71/15</f>
        <v>0</v>
      </c>
      <c r="AA71" s="512">
        <f>+'NEW Spring CHP by DISC'!AA71/15</f>
        <v>10.4</v>
      </c>
      <c r="AB71" s="512">
        <f>+'NEW Spring CHP by DISC'!AB71/12</f>
        <v>0</v>
      </c>
      <c r="AC71" s="512">
        <f>SUM(Z71:AB71)</f>
        <v>10.4</v>
      </c>
      <c r="AD71" s="1403">
        <f t="shared" si="65"/>
        <v>-0.37349397590361449</v>
      </c>
      <c r="AE71" s="328"/>
      <c r="AF71" s="328"/>
      <c r="AG71" s="328"/>
      <c r="AH71" s="328"/>
      <c r="AI71" s="328"/>
      <c r="AJ71" s="328"/>
      <c r="AK71" s="328"/>
      <c r="AL71" s="328"/>
    </row>
    <row r="72" spans="1:38" x14ac:dyDescent="0.25">
      <c r="A72" s="566" t="s">
        <v>994</v>
      </c>
      <c r="B72" s="154">
        <f>+'NEW Spring CHP by DISC'!B72/15</f>
        <v>32.6</v>
      </c>
      <c r="C72" s="154">
        <f>+'NEW Spring CHP by DISC'!C72/15</f>
        <v>5.4</v>
      </c>
      <c r="D72" s="154">
        <f>+'NEW Spring CHP by DISC'!D72/12</f>
        <v>0</v>
      </c>
      <c r="E72" s="745">
        <f>SUM(B72:D72)</f>
        <v>38</v>
      </c>
      <c r="F72" s="154">
        <f>+'NEW Spring CHP by DISC'!F72/15</f>
        <v>36.6</v>
      </c>
      <c r="G72" s="154">
        <f>+'NEW Spring CHP by DISC'!G72/15</f>
        <v>5.8</v>
      </c>
      <c r="H72" s="154">
        <f>+'NEW Spring CHP by DISC'!H72/12</f>
        <v>0</v>
      </c>
      <c r="I72" s="154">
        <f>SUM(F72:H72)</f>
        <v>42.4</v>
      </c>
      <c r="J72" s="155">
        <f t="shared" si="61"/>
        <v>0.11578947368421048</v>
      </c>
      <c r="K72" s="959">
        <f>+'NEW Spring CHP by DISC'!K72/15</f>
        <v>33.4</v>
      </c>
      <c r="L72" s="154">
        <f>+'NEW Spring CHP by DISC'!L72/15</f>
        <v>7.2</v>
      </c>
      <c r="M72" s="154">
        <f>+'NEW Spring CHP by DISC'!M72/12</f>
        <v>0</v>
      </c>
      <c r="N72" s="154">
        <f>SUM(K72:M72)</f>
        <v>40.6</v>
      </c>
      <c r="O72" s="870">
        <f t="shared" si="62"/>
        <v>-4.245283018867918E-2</v>
      </c>
      <c r="P72" s="959">
        <f>+'NEW Spring CHP by DISC'!P72/15</f>
        <v>33.799999999999997</v>
      </c>
      <c r="Q72" s="154">
        <f>+'NEW Spring CHP by DISC'!Q72/15</f>
        <v>8</v>
      </c>
      <c r="R72" s="154">
        <f>+'NEW Spring CHP by DISC'!R72/12</f>
        <v>0</v>
      </c>
      <c r="S72" s="154">
        <f>SUM(P72:R72)</f>
        <v>41.8</v>
      </c>
      <c r="T72" s="155">
        <f t="shared" si="63"/>
        <v>2.9556650246305313E-2</v>
      </c>
      <c r="U72" s="154">
        <f>+'NEW Spring CHP by DISC'!U72/15</f>
        <v>33.6</v>
      </c>
      <c r="V72" s="154">
        <f>+'NEW Spring CHP by DISC'!V72/15</f>
        <v>5.8</v>
      </c>
      <c r="W72" s="154">
        <f>+'NEW Spring CHP by DISC'!W72/12</f>
        <v>0</v>
      </c>
      <c r="X72" s="154">
        <f>SUM(U72:W72)</f>
        <v>39.4</v>
      </c>
      <c r="Y72" s="155">
        <f t="shared" si="64"/>
        <v>-5.7416267942583699E-2</v>
      </c>
      <c r="Z72" s="512">
        <f>+'NEW Spring CHP by DISC'!Z72/15</f>
        <v>32</v>
      </c>
      <c r="AA72" s="512">
        <f>+'NEW Spring CHP by DISC'!AA72/15</f>
        <v>10.8</v>
      </c>
      <c r="AB72" s="512">
        <f>+'NEW Spring CHP by DISC'!AB72/12</f>
        <v>0</v>
      </c>
      <c r="AC72" s="512">
        <f>SUM(Z72:AB72)</f>
        <v>42.8</v>
      </c>
      <c r="AD72" s="1403">
        <f t="shared" si="65"/>
        <v>8.629441624365479E-2</v>
      </c>
      <c r="AE72" s="328"/>
      <c r="AF72" s="328"/>
      <c r="AG72" s="328"/>
      <c r="AH72" s="328"/>
      <c r="AI72" s="328"/>
      <c r="AJ72" s="328"/>
      <c r="AK72" s="328"/>
      <c r="AL72" s="328"/>
    </row>
    <row r="73" spans="1:38" x14ac:dyDescent="0.25">
      <c r="A73" s="967" t="s">
        <v>1376</v>
      </c>
      <c r="B73" s="154">
        <f>+'NEW Spring CHP by DISC'!B73/15</f>
        <v>1.6</v>
      </c>
      <c r="C73" s="154">
        <f>+'NEW Spring CHP by DISC'!C73/15</f>
        <v>0</v>
      </c>
      <c r="D73" s="154">
        <f>+'NEW Spring CHP by DISC'!D73/12</f>
        <v>0</v>
      </c>
      <c r="E73" s="745">
        <f>SUM(B73:D73)</f>
        <v>1.6</v>
      </c>
      <c r="F73" s="154">
        <f>+'NEW Spring CHP by DISC'!F73/15</f>
        <v>9.4</v>
      </c>
      <c r="G73" s="154">
        <f>+'NEW Spring CHP by DISC'!G73/15</f>
        <v>0</v>
      </c>
      <c r="H73" s="154">
        <f>+'NEW Spring CHP by DISC'!H73/12</f>
        <v>0</v>
      </c>
      <c r="I73" s="154">
        <f>SUM(F73:H73)</f>
        <v>9.4</v>
      </c>
      <c r="J73" s="155">
        <f t="shared" si="61"/>
        <v>4.875</v>
      </c>
      <c r="K73" s="959">
        <f>+'NEW Spring CHP by DISC'!K73/15</f>
        <v>11.8</v>
      </c>
      <c r="L73" s="154">
        <f>+'NEW Spring CHP by DISC'!L73/15</f>
        <v>0</v>
      </c>
      <c r="M73" s="154">
        <f>+'NEW Spring CHP by DISC'!M73/12</f>
        <v>0</v>
      </c>
      <c r="N73" s="154">
        <f>SUM(K73:M73)</f>
        <v>11.8</v>
      </c>
      <c r="O73" s="870">
        <f t="shared" si="62"/>
        <v>0.25531914893617025</v>
      </c>
      <c r="P73" s="959">
        <f>+'NEW Spring CHP by DISC'!P73/15</f>
        <v>11.4</v>
      </c>
      <c r="Q73" s="154">
        <f>+'NEW Spring CHP by DISC'!Q73/15</f>
        <v>0</v>
      </c>
      <c r="R73" s="154">
        <f>+'NEW Spring CHP by DISC'!R73/12</f>
        <v>0</v>
      </c>
      <c r="S73" s="154">
        <f>SUM(P73:R73)</f>
        <v>11.4</v>
      </c>
      <c r="T73" s="155">
        <f t="shared" si="63"/>
        <v>-3.389830508474579E-2</v>
      </c>
      <c r="U73" s="154">
        <f>+'NEW Spring CHP by DISC'!U73/15</f>
        <v>8.4</v>
      </c>
      <c r="V73" s="154">
        <f>+'NEW Spring CHP by DISC'!V73/15</f>
        <v>0</v>
      </c>
      <c r="W73" s="154">
        <f>+'NEW Spring CHP by DISC'!W73/12</f>
        <v>0</v>
      </c>
      <c r="X73" s="154">
        <f>SUM(U73:W73)</f>
        <v>8.4</v>
      </c>
      <c r="Y73" s="155">
        <f t="shared" si="64"/>
        <v>-0.26315789473684209</v>
      </c>
      <c r="Z73" s="512">
        <f>+'NEW Spring CHP by DISC'!Z73/15</f>
        <v>7</v>
      </c>
      <c r="AA73" s="512">
        <f>+'NEW Spring CHP by DISC'!AA73/15</f>
        <v>0</v>
      </c>
      <c r="AB73" s="512">
        <f>+'NEW Spring CHP by DISC'!AB73/12</f>
        <v>0</v>
      </c>
      <c r="AC73" s="512">
        <f>SUM(Z73:AB73)</f>
        <v>7</v>
      </c>
      <c r="AD73" s="1403">
        <f t="shared" si="65"/>
        <v>-0.16666666666666671</v>
      </c>
      <c r="AE73" s="328"/>
      <c r="AF73" s="328"/>
      <c r="AG73" s="328"/>
      <c r="AH73" s="328"/>
      <c r="AI73" s="328"/>
      <c r="AJ73" s="328"/>
      <c r="AK73" s="328"/>
      <c r="AL73" s="328"/>
    </row>
    <row r="74" spans="1:38" s="575" customFormat="1" ht="13.8" x14ac:dyDescent="0.25">
      <c r="A74" s="615" t="s">
        <v>961</v>
      </c>
      <c r="B74" s="611">
        <f t="shared" ref="B74:I74" si="66">SUM(B69:B73)</f>
        <v>86.8</v>
      </c>
      <c r="C74" s="611">
        <f t="shared" si="66"/>
        <v>62.2</v>
      </c>
      <c r="D74" s="611">
        <f t="shared" si="66"/>
        <v>0</v>
      </c>
      <c r="E74" s="748">
        <f t="shared" si="66"/>
        <v>149</v>
      </c>
      <c r="F74" s="611">
        <f t="shared" si="66"/>
        <v>116.80000000000001</v>
      </c>
      <c r="G74" s="611">
        <f t="shared" si="66"/>
        <v>53.266666666666666</v>
      </c>
      <c r="H74" s="611">
        <f t="shared" si="66"/>
        <v>0</v>
      </c>
      <c r="I74" s="611">
        <f t="shared" si="66"/>
        <v>170.06666666666666</v>
      </c>
      <c r="J74" s="613">
        <f t="shared" si="61"/>
        <v>0.14138702460850108</v>
      </c>
      <c r="K74" s="1259">
        <f>SUM(K69:K73)</f>
        <v>128.20000000000002</v>
      </c>
      <c r="L74" s="611">
        <f>SUM(L69:L73)</f>
        <v>55.800000000000004</v>
      </c>
      <c r="M74" s="611">
        <f>SUM(M69:M73)</f>
        <v>0</v>
      </c>
      <c r="N74" s="611">
        <f>SUM(N69:N73)</f>
        <v>184</v>
      </c>
      <c r="O74" s="1264">
        <f t="shared" si="62"/>
        <v>8.1928655429243463E-2</v>
      </c>
      <c r="P74" s="1259">
        <f>SUM(P69:P73)</f>
        <v>140.4</v>
      </c>
      <c r="Q74" s="611">
        <f>SUM(Q69:Q73)</f>
        <v>37.6</v>
      </c>
      <c r="R74" s="611">
        <f>SUM(R69:R73)</f>
        <v>0</v>
      </c>
      <c r="S74" s="611">
        <f>SUM(S69:S73)</f>
        <v>178.00000000000003</v>
      </c>
      <c r="T74" s="613">
        <f t="shared" si="63"/>
        <v>-3.2608695652173759E-2</v>
      </c>
      <c r="U74" s="611">
        <f>SUM(U69:U73)</f>
        <v>129.20000000000002</v>
      </c>
      <c r="V74" s="611">
        <f>SUM(V69:V73)</f>
        <v>40.199999999999996</v>
      </c>
      <c r="W74" s="611">
        <f>SUM(W69:W73)</f>
        <v>0</v>
      </c>
      <c r="X74" s="611">
        <f>SUM(X69:X73)</f>
        <v>169.4</v>
      </c>
      <c r="Y74" s="613">
        <f t="shared" si="64"/>
        <v>-4.8314606741573153E-2</v>
      </c>
      <c r="Z74" s="1411">
        <f>SUM(Z69:Z73)</f>
        <v>110.4</v>
      </c>
      <c r="AA74" s="1411">
        <f>SUM(AA69:AA73)</f>
        <v>59</v>
      </c>
      <c r="AB74" s="1411">
        <f>SUM(AB69:AB73)</f>
        <v>0</v>
      </c>
      <c r="AC74" s="1411">
        <f>SUM(AC69:AC73)</f>
        <v>169.4</v>
      </c>
      <c r="AD74" s="1405">
        <f t="shared" si="65"/>
        <v>0</v>
      </c>
    </row>
    <row r="75" spans="1:38" x14ac:dyDescent="0.25">
      <c r="A75" s="564" t="s">
        <v>409</v>
      </c>
      <c r="B75" s="151"/>
      <c r="C75" s="152"/>
      <c r="D75" s="152"/>
      <c r="E75" s="153"/>
      <c r="F75" s="151"/>
      <c r="G75" s="152"/>
      <c r="H75" s="152"/>
      <c r="I75" s="152"/>
      <c r="J75" s="153"/>
      <c r="K75" s="1254"/>
      <c r="L75" s="152"/>
      <c r="M75" s="152"/>
      <c r="N75" s="152"/>
      <c r="O75" s="1251"/>
      <c r="P75" s="1254"/>
      <c r="Q75" s="152"/>
      <c r="R75" s="152"/>
      <c r="S75" s="152"/>
      <c r="T75" s="153"/>
      <c r="U75" s="151"/>
      <c r="V75" s="152"/>
      <c r="W75" s="152"/>
      <c r="X75" s="152"/>
      <c r="Y75" s="153"/>
      <c r="Z75" s="605"/>
      <c r="AA75" s="578"/>
      <c r="AB75" s="578"/>
      <c r="AC75" s="578"/>
      <c r="AD75" s="518"/>
      <c r="AE75" s="328"/>
      <c r="AF75" s="328"/>
      <c r="AG75" s="328"/>
      <c r="AH75" s="328"/>
      <c r="AI75" s="328"/>
      <c r="AJ75" s="328"/>
      <c r="AK75" s="328"/>
      <c r="AL75" s="328"/>
    </row>
    <row r="76" spans="1:38" x14ac:dyDescent="0.25">
      <c r="A76" s="566" t="s">
        <v>990</v>
      </c>
      <c r="B76" s="154">
        <f>+'NEW Spring CHP by DISC'!B76/15</f>
        <v>163.4</v>
      </c>
      <c r="C76" s="154">
        <f>+'NEW Spring CHP by DISC'!C76/15</f>
        <v>17.8</v>
      </c>
      <c r="D76" s="154">
        <f>+'NEW Spring CHP by DISC'!D76/12</f>
        <v>0</v>
      </c>
      <c r="E76" s="745">
        <f>SUM(B76:D76)</f>
        <v>181.20000000000002</v>
      </c>
      <c r="F76" s="154">
        <f>+'NEW Spring CHP by DISC'!F76/15</f>
        <v>189</v>
      </c>
      <c r="G76" s="154">
        <f>+'NEW Spring CHP by DISC'!G76/15</f>
        <v>17.8</v>
      </c>
      <c r="H76" s="154">
        <f>+'NEW Spring CHP by DISC'!H76/12</f>
        <v>0</v>
      </c>
      <c r="I76" s="154">
        <f>SUM(F76:H76)</f>
        <v>206.8</v>
      </c>
      <c r="J76" s="155">
        <f>IF(E76&gt;0,(I76-E76)/E76,(IF(I76=0,"N/A",100%)))</f>
        <v>0.14128035320088295</v>
      </c>
      <c r="K76" s="959">
        <f>+'NEW Spring CHP by DISC'!K76/15</f>
        <v>221.8</v>
      </c>
      <c r="L76" s="154">
        <f>+'NEW Spring CHP by DISC'!L76/15</f>
        <v>19.666666666666668</v>
      </c>
      <c r="M76" s="154">
        <f>+'NEW Spring CHP by DISC'!M76/12</f>
        <v>0</v>
      </c>
      <c r="N76" s="154">
        <f>SUM(K76:M76)</f>
        <v>241.46666666666667</v>
      </c>
      <c r="O76" s="870">
        <f>IF(I76&gt;0,(N76-I76)/I76,(IF(N76=0,"N/A",100%)))</f>
        <v>0.16763378465506121</v>
      </c>
      <c r="P76" s="959">
        <f>+'NEW Spring CHP by DISC'!P76/15</f>
        <v>235.4</v>
      </c>
      <c r="Q76" s="154">
        <f>+'NEW Spring CHP by DISC'!Q76/15</f>
        <v>20.266666666666666</v>
      </c>
      <c r="R76" s="154">
        <f>+'NEW Spring CHP by DISC'!R76/12</f>
        <v>0</v>
      </c>
      <c r="S76" s="154">
        <f>SUM(P76:R76)</f>
        <v>255.66666666666669</v>
      </c>
      <c r="T76" s="155">
        <f>IF(N76&gt;0,(S76-N76)/N76,(IF(S76=0,"N/A",100%)))</f>
        <v>5.880728879072343E-2</v>
      </c>
      <c r="U76" s="154">
        <f>+'NEW Spring CHP by DISC'!U76/15</f>
        <v>253.66666666666666</v>
      </c>
      <c r="V76" s="154">
        <f>+'NEW Spring CHP by DISC'!V76/15</f>
        <v>15.4</v>
      </c>
      <c r="W76" s="154">
        <f>+'NEW Spring CHP by DISC'!W76/12</f>
        <v>0</v>
      </c>
      <c r="X76" s="154">
        <f>SUM(U76:W76)</f>
        <v>269.06666666666666</v>
      </c>
      <c r="Y76" s="155">
        <f>IF(S76&gt;0,(X76-S76)/S76,(IF(X76=0,"N/A",100%)))</f>
        <v>5.241199478487605E-2</v>
      </c>
      <c r="Z76" s="512">
        <f>+'NEW Spring CHP by DISC'!Z76/15</f>
        <v>231.66666666666666</v>
      </c>
      <c r="AA76" s="512">
        <f>+'NEW Spring CHP by DISC'!AA76/15</f>
        <v>22.2</v>
      </c>
      <c r="AB76" s="512">
        <f>+'NEW Spring CHP by DISC'!AB76/12</f>
        <v>0</v>
      </c>
      <c r="AC76" s="512">
        <f>SUM(Z76:AB76)</f>
        <v>253.86666666666665</v>
      </c>
      <c r="AD76" s="1403">
        <f>IF(X76&gt;0,(AC76-X76)/X76,(IF(AC76=0,"N/A",100%)))</f>
        <v>-5.649157581764129E-2</v>
      </c>
      <c r="AE76" s="328"/>
      <c r="AF76" s="328"/>
      <c r="AG76" s="328"/>
      <c r="AH76" s="328"/>
      <c r="AI76" s="328"/>
      <c r="AJ76" s="328"/>
      <c r="AK76" s="328"/>
      <c r="AL76" s="328"/>
    </row>
    <row r="77" spans="1:38" x14ac:dyDescent="0.25">
      <c r="A77" s="566" t="s">
        <v>991</v>
      </c>
      <c r="B77" s="154">
        <f>+'NEW Spring CHP by DISC'!B77/15</f>
        <v>7.2</v>
      </c>
      <c r="C77" s="154">
        <f>+'NEW Spring CHP by DISC'!C77/15</f>
        <v>0</v>
      </c>
      <c r="D77" s="154">
        <f>+'NEW Spring CHP by DISC'!D77/12</f>
        <v>0</v>
      </c>
      <c r="E77" s="745">
        <f>SUM(B77:D77)</f>
        <v>7.2</v>
      </c>
      <c r="F77" s="154">
        <f>+'NEW Spring CHP by DISC'!F77/15</f>
        <v>7.4</v>
      </c>
      <c r="G77" s="154">
        <f>+'NEW Spring CHP by DISC'!G77/15</f>
        <v>0</v>
      </c>
      <c r="H77" s="154">
        <f>+'NEW Spring CHP by DISC'!H77/12</f>
        <v>0</v>
      </c>
      <c r="I77" s="154">
        <f>SUM(F77:H77)</f>
        <v>7.4</v>
      </c>
      <c r="J77" s="155">
        <f>IF(E77&gt;0,(I77-E77)/E77,(IF(I77=0,"N/A",100%)))</f>
        <v>2.7777777777777801E-2</v>
      </c>
      <c r="K77" s="959">
        <f>+'NEW Spring CHP by DISC'!K77/15</f>
        <v>7.6</v>
      </c>
      <c r="L77" s="154">
        <f>+'NEW Spring CHP by DISC'!L77/15</f>
        <v>0.2</v>
      </c>
      <c r="M77" s="154">
        <f>+'NEW Spring CHP by DISC'!M77/12</f>
        <v>0</v>
      </c>
      <c r="N77" s="154">
        <f>SUM(K77:M77)</f>
        <v>7.8</v>
      </c>
      <c r="O77" s="870">
        <f>IF(I77&gt;0,(N77-I77)/I77,(IF(N77=0,"N/A",100%)))</f>
        <v>5.4054054054053981E-2</v>
      </c>
      <c r="P77" s="959">
        <f>+'NEW Spring CHP by DISC'!P77/15</f>
        <v>8</v>
      </c>
      <c r="Q77" s="154">
        <f>+'NEW Spring CHP by DISC'!Q77/15</f>
        <v>0</v>
      </c>
      <c r="R77" s="154">
        <f>+'NEW Spring CHP by DISC'!R77/12</f>
        <v>0</v>
      </c>
      <c r="S77" s="154">
        <f>SUM(P77:R77)</f>
        <v>8</v>
      </c>
      <c r="T77" s="155">
        <f>IF(N77&gt;0,(S77-N77)/N77,(IF(S77=0,"N/A",100%)))</f>
        <v>2.5641025641025664E-2</v>
      </c>
      <c r="U77" s="154">
        <f>+'NEW Spring CHP by DISC'!U77/15</f>
        <v>8.8000000000000007</v>
      </c>
      <c r="V77" s="154">
        <f>+'NEW Spring CHP by DISC'!V77/15</f>
        <v>0.6</v>
      </c>
      <c r="W77" s="154">
        <f>+'NEW Spring CHP by DISC'!W77/12</f>
        <v>0</v>
      </c>
      <c r="X77" s="154">
        <f>SUM(U77:W77)</f>
        <v>9.4</v>
      </c>
      <c r="Y77" s="155">
        <f>IF(S77&gt;0,(X77-S77)/S77,(IF(X77=0,"N/A",100%)))</f>
        <v>0.17500000000000004</v>
      </c>
      <c r="Z77" s="512">
        <f>+'NEW Spring CHP by DISC'!Z77/15</f>
        <v>13.6</v>
      </c>
      <c r="AA77" s="512">
        <f>+'NEW Spring CHP by DISC'!AA77/15</f>
        <v>0.4</v>
      </c>
      <c r="AB77" s="512">
        <f>+'NEW Spring CHP by DISC'!AB77/12</f>
        <v>0</v>
      </c>
      <c r="AC77" s="512">
        <f>SUM(Z77:AB77)</f>
        <v>14</v>
      </c>
      <c r="AD77" s="1403">
        <f>IF(X77&gt;0,(AC77-X77)/X77,(IF(AC77=0,"N/A",100%)))</f>
        <v>0.4893617021276595</v>
      </c>
      <c r="AE77" s="328"/>
      <c r="AF77" s="328"/>
      <c r="AG77" s="328"/>
      <c r="AH77" s="328"/>
      <c r="AI77" s="328"/>
      <c r="AJ77" s="328"/>
      <c r="AK77" s="328"/>
      <c r="AL77" s="328"/>
    </row>
    <row r="78" spans="1:38" x14ac:dyDescent="0.25">
      <c r="A78" s="566" t="s">
        <v>995</v>
      </c>
      <c r="B78" s="154">
        <f>+'NEW Spring CHP by DISC'!B78/15</f>
        <v>53.4</v>
      </c>
      <c r="C78" s="154">
        <f>+'NEW Spring CHP by DISC'!C78/15</f>
        <v>1.2</v>
      </c>
      <c r="D78" s="154">
        <f>+'NEW Spring CHP by DISC'!D78/12</f>
        <v>0</v>
      </c>
      <c r="E78" s="745">
        <f>SUM(B78:D78)</f>
        <v>54.6</v>
      </c>
      <c r="F78" s="154">
        <f>+'NEW Spring CHP by DISC'!F78/15</f>
        <v>50.8</v>
      </c>
      <c r="G78" s="154">
        <f>+'NEW Spring CHP by DISC'!G78/15</f>
        <v>1.7333333333333334</v>
      </c>
      <c r="H78" s="154">
        <f>+'NEW Spring CHP by DISC'!H78/12</f>
        <v>0</v>
      </c>
      <c r="I78" s="154">
        <f>SUM(F78:H78)</f>
        <v>52.533333333333331</v>
      </c>
      <c r="J78" s="155">
        <f>IF(E78&gt;0,(I78-E78)/E78,(IF(I78=0,"N/A",100%)))</f>
        <v>-3.7851037851037911E-2</v>
      </c>
      <c r="K78" s="959">
        <f>+'NEW Spring CHP by DISC'!K78/15</f>
        <v>54.466666666666669</v>
      </c>
      <c r="L78" s="154">
        <f>+'NEW Spring CHP by DISC'!L78/15</f>
        <v>4</v>
      </c>
      <c r="M78" s="154">
        <f>+'NEW Spring CHP by DISC'!M78/12</f>
        <v>0</v>
      </c>
      <c r="N78" s="154">
        <f>SUM(K78:M78)</f>
        <v>58.466666666666669</v>
      </c>
      <c r="O78" s="870">
        <f>IF(I78&gt;0,(N78-I78)/I78,(IF(N78=0,"N/A",100%)))</f>
        <v>0.1129441624365483</v>
      </c>
      <c r="P78" s="959">
        <f>+'NEW Spring CHP by DISC'!P78/15</f>
        <v>72.400000000000006</v>
      </c>
      <c r="Q78" s="154">
        <f>+'NEW Spring CHP by DISC'!Q78/15</f>
        <v>4.4000000000000004</v>
      </c>
      <c r="R78" s="154">
        <f>+'NEW Spring CHP by DISC'!R78/12</f>
        <v>0</v>
      </c>
      <c r="S78" s="154">
        <f>SUM(P78:R78)</f>
        <v>76.800000000000011</v>
      </c>
      <c r="T78" s="155">
        <f>IF(N78&gt;0,(S78-N78)/N78,(IF(S78=0,"N/A",100%)))</f>
        <v>0.31356898517673903</v>
      </c>
      <c r="U78" s="154">
        <f>+'NEW Spring CHP by DISC'!U78/15</f>
        <v>85.2</v>
      </c>
      <c r="V78" s="154">
        <f>+'NEW Spring CHP by DISC'!V78/15</f>
        <v>4.5999999999999996</v>
      </c>
      <c r="W78" s="154">
        <f>+'NEW Spring CHP by DISC'!W78/12</f>
        <v>0</v>
      </c>
      <c r="X78" s="154">
        <f>SUM(U78:W78)</f>
        <v>89.8</v>
      </c>
      <c r="Y78" s="155">
        <f>IF(S78&gt;0,(X78-S78)/S78,(IF(X78=0,"N/A",100%)))</f>
        <v>0.16927083333333312</v>
      </c>
      <c r="Z78" s="512">
        <f>+'NEW Spring CHP by DISC'!Z78/15</f>
        <v>96.2</v>
      </c>
      <c r="AA78" s="512">
        <f>+'NEW Spring CHP by DISC'!AA78/15</f>
        <v>6.4</v>
      </c>
      <c r="AB78" s="512">
        <f>+'NEW Spring CHP by DISC'!AB78/12</f>
        <v>0</v>
      </c>
      <c r="AC78" s="512">
        <f>SUM(Z78:AB78)</f>
        <v>102.60000000000001</v>
      </c>
      <c r="AD78" s="1403">
        <f>IF(X78&gt;0,(AC78-X78)/X78,(IF(AC78=0,"N/A",100%)))</f>
        <v>0.14253897550111372</v>
      </c>
      <c r="AE78" s="328"/>
      <c r="AF78" s="328"/>
      <c r="AG78" s="328"/>
      <c r="AH78" s="328"/>
      <c r="AI78" s="328"/>
      <c r="AJ78" s="328"/>
      <c r="AK78" s="328"/>
      <c r="AL78" s="328"/>
    </row>
    <row r="79" spans="1:38" s="575" customFormat="1" ht="14.4" thickBot="1" x14ac:dyDescent="0.3">
      <c r="A79" s="615" t="s">
        <v>961</v>
      </c>
      <c r="B79" s="611">
        <f t="shared" ref="B79:I79" si="67">SUM(B76:B78)</f>
        <v>224</v>
      </c>
      <c r="C79" s="611">
        <f t="shared" si="67"/>
        <v>19</v>
      </c>
      <c r="D79" s="611">
        <f t="shared" si="67"/>
        <v>0</v>
      </c>
      <c r="E79" s="748">
        <f t="shared" si="67"/>
        <v>243</v>
      </c>
      <c r="F79" s="611">
        <f t="shared" si="67"/>
        <v>247.2</v>
      </c>
      <c r="G79" s="611">
        <f t="shared" si="67"/>
        <v>19.533333333333335</v>
      </c>
      <c r="H79" s="611">
        <f t="shared" si="67"/>
        <v>0</v>
      </c>
      <c r="I79" s="611">
        <f t="shared" si="67"/>
        <v>266.73333333333335</v>
      </c>
      <c r="J79" s="613">
        <f>IF(E79&gt;0,(I79-E79)/E79,(IF(I79=0,"N/A",100%)))</f>
        <v>9.7668038408779217E-2</v>
      </c>
      <c r="K79" s="1260">
        <f>SUM(K76:K78)</f>
        <v>283.86666666666667</v>
      </c>
      <c r="L79" s="629">
        <f>SUM(L76:L78)</f>
        <v>23.866666666666667</v>
      </c>
      <c r="M79" s="629">
        <f>SUM(M76:M78)</f>
        <v>0</v>
      </c>
      <c r="N79" s="629">
        <f>SUM(N76:N78)</f>
        <v>307.73333333333335</v>
      </c>
      <c r="O79" s="1265">
        <f>IF(I79&gt;0,(N79-I79)/I79,(IF(N79=0,"N/A",100%)))</f>
        <v>0.15371157210697325</v>
      </c>
      <c r="P79" s="1259">
        <f>SUM(P76:P78)</f>
        <v>315.8</v>
      </c>
      <c r="Q79" s="611">
        <f>SUM(Q76:Q78)</f>
        <v>24.666666666666664</v>
      </c>
      <c r="R79" s="611">
        <f>SUM(R76:R78)</f>
        <v>0</v>
      </c>
      <c r="S79" s="611">
        <f>SUM(S76:S78)</f>
        <v>340.4666666666667</v>
      </c>
      <c r="T79" s="613">
        <f>IF(N79&gt;0,(S79-N79)/N79,(IF(S79=0,"N/A",100%)))</f>
        <v>0.10636915077989606</v>
      </c>
      <c r="U79" s="611">
        <f>SUM(U76:U78)</f>
        <v>347.66666666666663</v>
      </c>
      <c r="V79" s="611">
        <f>SUM(V76:V78)</f>
        <v>20.6</v>
      </c>
      <c r="W79" s="611">
        <f>SUM(W76:W78)</f>
        <v>0</v>
      </c>
      <c r="X79" s="611">
        <f>SUM(X76:X78)</f>
        <v>368.26666666666665</v>
      </c>
      <c r="Y79" s="613">
        <f>IF(S79&gt;0,(X79-S79)/S79,(IF(X79=0,"N/A",100%)))</f>
        <v>8.1652633640101682E-2</v>
      </c>
      <c r="Z79" s="1411">
        <f>SUM(Z76:Z78)</f>
        <v>341.46666666666664</v>
      </c>
      <c r="AA79" s="1411">
        <f>SUM(AA76:AA78)</f>
        <v>29</v>
      </c>
      <c r="AB79" s="1411">
        <f>SUM(AB76:AB78)</f>
        <v>0</v>
      </c>
      <c r="AC79" s="1411">
        <f>SUM(AC76:AC78)</f>
        <v>370.4666666666667</v>
      </c>
      <c r="AD79" s="1405">
        <f>IF(X79&gt;0,(AC79-X79)/X79,(IF(AC79=0,"N/A",100%)))</f>
        <v>5.9739319333817313E-3</v>
      </c>
    </row>
    <row r="80" spans="1:38" s="596" customFormat="1" ht="16.8" thickTop="1" thickBot="1" x14ac:dyDescent="0.35">
      <c r="A80" s="590" t="s">
        <v>414</v>
      </c>
      <c r="B80" s="591">
        <f t="shared" ref="B80:I80" si="68">+B52+B60+B67+B74+B79</f>
        <v>484.06666666666666</v>
      </c>
      <c r="C80" s="591">
        <f t="shared" si="68"/>
        <v>167.93333333333334</v>
      </c>
      <c r="D80" s="591">
        <f t="shared" si="68"/>
        <v>0</v>
      </c>
      <c r="E80" s="747">
        <f t="shared" si="68"/>
        <v>652</v>
      </c>
      <c r="F80" s="591">
        <f t="shared" si="68"/>
        <v>555</v>
      </c>
      <c r="G80" s="591">
        <f t="shared" si="68"/>
        <v>164.79999999999998</v>
      </c>
      <c r="H80" s="591">
        <f t="shared" si="68"/>
        <v>0</v>
      </c>
      <c r="I80" s="591">
        <f t="shared" si="68"/>
        <v>719.8</v>
      </c>
      <c r="J80" s="642">
        <f>IF(E80&gt;0,(I80-E80)/E80,(IF(I80=0,"N/A",100%)))</f>
        <v>0.10398773006134962</v>
      </c>
      <c r="K80" s="1258">
        <f>+K52+K60+K67+K74+K79</f>
        <v>657.86666666666667</v>
      </c>
      <c r="L80" s="1258">
        <f>+L52+L60+L67+L74+L79</f>
        <v>169.60000000000002</v>
      </c>
      <c r="M80" s="1258">
        <f>+M52+M60+M67+M74+M79</f>
        <v>0</v>
      </c>
      <c r="N80" s="1258">
        <f>+N52+N60+N67+N74+N79</f>
        <v>827.4666666666667</v>
      </c>
      <c r="O80" s="1266">
        <f>IF(I80&gt;0,(N80-I80)/I80,(IF(N80=0,"N/A",100%)))</f>
        <v>0.14957858664443838</v>
      </c>
      <c r="P80" s="962">
        <f>+P52+P60+P67+P74+P79</f>
        <v>726.4666666666667</v>
      </c>
      <c r="Q80" s="591">
        <f>+Q52+Q60+Q67+Q74+Q79</f>
        <v>143.66666666666666</v>
      </c>
      <c r="R80" s="591">
        <f>+R52+R60+R67+R74+R79</f>
        <v>0</v>
      </c>
      <c r="S80" s="591">
        <f>+S52+S60+S67+S74+S79</f>
        <v>870.13333333333344</v>
      </c>
      <c r="T80" s="1257">
        <f>IF(N80&gt;0,(S80-N80)/N80,(IF(S80=0,"N/A",100%)))</f>
        <v>5.1563003544956583E-2</v>
      </c>
      <c r="U80" s="591">
        <f>+U52+U60+U67+U74+U79</f>
        <v>720.93333333333328</v>
      </c>
      <c r="V80" s="591">
        <f>+V52+V60+V67+V74+V79</f>
        <v>157.26666666666665</v>
      </c>
      <c r="W80" s="591">
        <f>+W52+W60+W67+W74+W79</f>
        <v>0</v>
      </c>
      <c r="X80" s="591">
        <f>+X52+X60+X67+X74+X79</f>
        <v>878.19999999999993</v>
      </c>
      <c r="Y80" s="1257">
        <f>IF(S80&gt;0,(X80-S80)/S80,(IF(X80=0,"N/A",100%)))</f>
        <v>9.2706098682192283E-3</v>
      </c>
      <c r="Z80" s="1408">
        <f>+Z52+Z60+Z67+Z74+Z79</f>
        <v>653.06666666666661</v>
      </c>
      <c r="AA80" s="1408">
        <f>+AA52+AA60+AA67+AA74+AA79</f>
        <v>183.53333333333333</v>
      </c>
      <c r="AB80" s="1408">
        <f>+AB52+AB60+AB67+AB74+AB79</f>
        <v>0.25</v>
      </c>
      <c r="AC80" s="1408">
        <f>+AC52+AC60+AC67+AC74+AC79</f>
        <v>836.85</v>
      </c>
      <c r="AD80" s="1410">
        <f>IF(X80&gt;0,(AC80-X80)/X80,(IF(AC80=0,"N/A",100%)))</f>
        <v>-4.708494648143921E-2</v>
      </c>
    </row>
    <row r="81" spans="1:38" ht="14.25" customHeight="1" thickTop="1" x14ac:dyDescent="0.25">
      <c r="A81" s="604"/>
      <c r="B81" s="335"/>
      <c r="C81" s="335"/>
      <c r="D81" s="335"/>
      <c r="E81" s="335"/>
      <c r="F81" s="335"/>
      <c r="G81" s="335"/>
      <c r="H81" s="335"/>
      <c r="I81" s="335"/>
      <c r="J81" s="598"/>
      <c r="K81" s="328"/>
      <c r="L81" s="328"/>
      <c r="M81" s="328"/>
      <c r="N81" s="328"/>
      <c r="O81" s="328"/>
      <c r="P81" s="328"/>
      <c r="Q81" s="328"/>
      <c r="R81" s="328"/>
      <c r="S81" s="328"/>
      <c r="T81" s="328"/>
      <c r="U81" s="328"/>
      <c r="V81" s="328"/>
      <c r="W81" s="328"/>
      <c r="X81" s="328"/>
      <c r="Y81" s="328"/>
      <c r="Z81" s="871"/>
      <c r="AA81" s="871"/>
      <c r="AB81" s="871"/>
      <c r="AC81" s="871"/>
      <c r="AD81" s="871"/>
      <c r="AE81" s="328"/>
      <c r="AF81" s="328"/>
      <c r="AG81" s="328"/>
      <c r="AH81" s="328"/>
      <c r="AI81" s="328"/>
      <c r="AJ81" s="328"/>
      <c r="AK81" s="328"/>
      <c r="AL81" s="328"/>
    </row>
    <row r="82" spans="1:38" ht="14.25" customHeight="1" thickBot="1" x14ac:dyDescent="0.3">
      <c r="A82" s="604"/>
      <c r="B82" s="335"/>
      <c r="C82" s="335"/>
      <c r="D82" s="335"/>
      <c r="E82" s="335"/>
      <c r="F82" s="335"/>
      <c r="G82" s="335"/>
      <c r="H82" s="335"/>
      <c r="I82" s="335"/>
      <c r="J82" s="598"/>
      <c r="K82" s="328"/>
      <c r="L82" s="328"/>
      <c r="M82" s="328"/>
      <c r="N82" s="328"/>
      <c r="O82" s="328"/>
      <c r="P82" s="328"/>
      <c r="Q82" s="328"/>
      <c r="R82" s="328"/>
      <c r="S82" s="328"/>
      <c r="T82" s="328"/>
      <c r="U82" s="328"/>
      <c r="V82" s="328"/>
      <c r="W82" s="328"/>
      <c r="X82" s="328"/>
      <c r="Y82" s="328"/>
      <c r="Z82" s="871"/>
      <c r="AA82" s="871"/>
      <c r="AB82" s="871"/>
      <c r="AC82" s="871"/>
      <c r="AD82" s="871"/>
      <c r="AE82" s="328"/>
      <c r="AF82" s="328"/>
      <c r="AG82" s="328"/>
      <c r="AH82" s="328"/>
      <c r="AI82" s="328"/>
      <c r="AJ82" s="328"/>
      <c r="AK82" s="328"/>
      <c r="AL82" s="328"/>
    </row>
    <row r="83" spans="1:38" customFormat="1" ht="18.600000000000001" thickTop="1" thickBot="1" x14ac:dyDescent="0.35">
      <c r="A83" s="1736" t="s">
        <v>400</v>
      </c>
      <c r="B83" s="1737"/>
      <c r="C83" s="1737"/>
      <c r="D83" s="1737"/>
      <c r="E83" s="1737"/>
      <c r="F83" s="1737"/>
      <c r="G83" s="1737"/>
      <c r="H83" s="1737"/>
      <c r="I83" s="1737"/>
      <c r="J83" s="1737"/>
      <c r="K83" s="1737"/>
      <c r="L83" s="1737"/>
      <c r="M83" s="1737"/>
      <c r="N83" s="1737"/>
      <c r="O83" s="1737"/>
      <c r="P83" s="1737"/>
      <c r="Q83" s="1737"/>
      <c r="R83" s="1737"/>
      <c r="S83" s="1737"/>
      <c r="T83" s="1737"/>
      <c r="U83" s="1737"/>
      <c r="V83" s="1737"/>
      <c r="W83" s="1737"/>
      <c r="X83" s="1737"/>
      <c r="Y83" s="1737"/>
      <c r="Z83" s="1737"/>
      <c r="AA83" s="1737"/>
      <c r="AB83" s="1737"/>
      <c r="AC83" s="1737"/>
      <c r="AD83" s="1738"/>
    </row>
    <row r="84" spans="1:38" ht="49.2" customHeight="1" thickTop="1" x14ac:dyDescent="0.25">
      <c r="A84" s="1723" t="s">
        <v>952</v>
      </c>
      <c r="B84" s="148" t="s">
        <v>954</v>
      </c>
      <c r="C84" s="148" t="s">
        <v>955</v>
      </c>
      <c r="D84" s="148" t="s">
        <v>956</v>
      </c>
      <c r="E84" s="820" t="s">
        <v>1015</v>
      </c>
      <c r="F84" s="148" t="s">
        <v>954</v>
      </c>
      <c r="G84" s="148" t="s">
        <v>955</v>
      </c>
      <c r="H84" s="148" t="s">
        <v>956</v>
      </c>
      <c r="I84" s="823" t="s">
        <v>1015</v>
      </c>
      <c r="J84" s="149" t="s">
        <v>1017</v>
      </c>
      <c r="K84" s="1253" t="s">
        <v>954</v>
      </c>
      <c r="L84" s="148" t="s">
        <v>955</v>
      </c>
      <c r="M84" s="148" t="s">
        <v>956</v>
      </c>
      <c r="N84" s="823" t="s">
        <v>1015</v>
      </c>
      <c r="O84" s="149" t="s">
        <v>1017</v>
      </c>
      <c r="P84" s="1253" t="s">
        <v>954</v>
      </c>
      <c r="Q84" s="148" t="s">
        <v>955</v>
      </c>
      <c r="R84" s="148" t="s">
        <v>956</v>
      </c>
      <c r="S84" s="823" t="s">
        <v>1015</v>
      </c>
      <c r="T84" s="149" t="s">
        <v>1017</v>
      </c>
      <c r="U84" s="148" t="s">
        <v>954</v>
      </c>
      <c r="V84" s="148" t="s">
        <v>955</v>
      </c>
      <c r="W84" s="148" t="s">
        <v>956</v>
      </c>
      <c r="X84" s="823" t="s">
        <v>1015</v>
      </c>
      <c r="Y84" s="149" t="s">
        <v>1017</v>
      </c>
      <c r="Z84" s="1400" t="s">
        <v>954</v>
      </c>
      <c r="AA84" s="1400" t="s">
        <v>955</v>
      </c>
      <c r="AB84" s="1400" t="s">
        <v>956</v>
      </c>
      <c r="AC84" s="1401" t="s">
        <v>1015</v>
      </c>
      <c r="AD84" s="1402" t="s">
        <v>1017</v>
      </c>
      <c r="AE84" s="328"/>
      <c r="AF84" s="328"/>
      <c r="AG84" s="328"/>
      <c r="AH84" s="329"/>
      <c r="AI84" s="328"/>
      <c r="AJ84" s="328"/>
      <c r="AK84" s="328"/>
      <c r="AL84" s="328"/>
    </row>
    <row r="85" spans="1:38" ht="12.75" customHeight="1" x14ac:dyDescent="0.25">
      <c r="A85" s="1724"/>
      <c r="B85" s="1726" t="s">
        <v>1443</v>
      </c>
      <c r="C85" s="1727"/>
      <c r="D85" s="1727"/>
      <c r="E85" s="1728"/>
      <c r="F85" s="1727" t="s">
        <v>1442</v>
      </c>
      <c r="G85" s="1727"/>
      <c r="H85" s="1727"/>
      <c r="I85" s="1727"/>
      <c r="J85" s="1728"/>
      <c r="K85" s="1727" t="s">
        <v>1393</v>
      </c>
      <c r="L85" s="1727"/>
      <c r="M85" s="1727"/>
      <c r="N85" s="1727"/>
      <c r="O85" s="1728"/>
      <c r="P85" s="1727" t="s">
        <v>1394</v>
      </c>
      <c r="Q85" s="1727"/>
      <c r="R85" s="1727"/>
      <c r="S85" s="1727"/>
      <c r="T85" s="1728"/>
      <c r="U85" s="1727" t="s">
        <v>1395</v>
      </c>
      <c r="V85" s="1727"/>
      <c r="W85" s="1727"/>
      <c r="X85" s="1727"/>
      <c r="Y85" s="1728"/>
      <c r="Z85" s="1739" t="s">
        <v>1552</v>
      </c>
      <c r="AA85" s="1739"/>
      <c r="AB85" s="1739"/>
      <c r="AC85" s="1739"/>
      <c r="AD85" s="1740"/>
      <c r="AE85" s="328"/>
      <c r="AF85" s="328"/>
      <c r="AG85" s="328"/>
      <c r="AH85" s="328"/>
      <c r="AI85" s="328"/>
      <c r="AJ85" s="328"/>
      <c r="AK85" s="328"/>
      <c r="AL85" s="328"/>
    </row>
    <row r="86" spans="1:38" x14ac:dyDescent="0.25">
      <c r="A86" s="564" t="s">
        <v>402</v>
      </c>
      <c r="B86" s="151"/>
      <c r="C86" s="152"/>
      <c r="D86" s="152"/>
      <c r="E86" s="153"/>
      <c r="F86" s="151"/>
      <c r="G86" s="152"/>
      <c r="H86" s="152"/>
      <c r="I86" s="152"/>
      <c r="J86" s="153"/>
      <c r="K86" s="1254"/>
      <c r="L86" s="152"/>
      <c r="M86" s="152"/>
      <c r="N86" s="152"/>
      <c r="O86" s="153"/>
      <c r="P86" s="1254"/>
      <c r="Q86" s="152"/>
      <c r="R86" s="152"/>
      <c r="S86" s="152"/>
      <c r="T86" s="153"/>
      <c r="U86" s="151"/>
      <c r="V86" s="152"/>
      <c r="W86" s="152"/>
      <c r="X86" s="152"/>
      <c r="Y86" s="153"/>
      <c r="Z86" s="605"/>
      <c r="AA86" s="578"/>
      <c r="AB86" s="578"/>
      <c r="AC86" s="578"/>
      <c r="AD86" s="518"/>
      <c r="AE86" s="328"/>
      <c r="AF86" s="328"/>
      <c r="AG86" s="328"/>
      <c r="AH86" s="328"/>
      <c r="AI86" s="328"/>
      <c r="AJ86" s="328"/>
      <c r="AK86" s="328"/>
      <c r="AL86" s="328"/>
    </row>
    <row r="87" spans="1:38" x14ac:dyDescent="0.25">
      <c r="A87" s="566" t="s">
        <v>1006</v>
      </c>
      <c r="B87" s="154">
        <f>+'NEW Spring CHP by DISC'!B87/15</f>
        <v>81.86666666666666</v>
      </c>
      <c r="C87" s="154">
        <f>+'NEW Spring CHP by DISC'!C87/15</f>
        <v>28.133333333333333</v>
      </c>
      <c r="D87" s="154">
        <f>+'NEW Spring CHP by DISC'!D87/12</f>
        <v>0</v>
      </c>
      <c r="E87" s="745">
        <f>SUM(B87:D87)</f>
        <v>110</v>
      </c>
      <c r="F87" s="154">
        <f>+'NEW Spring CHP by DISC'!F87/15</f>
        <v>90.666666666666671</v>
      </c>
      <c r="G87" s="154">
        <f>+'NEW Spring CHP by DISC'!G87/15</f>
        <v>23.6</v>
      </c>
      <c r="H87" s="154">
        <f>+'NEW Spring CHP by DISC'!H87/12</f>
        <v>0</v>
      </c>
      <c r="I87" s="154">
        <f>SUM(F87:H87)</f>
        <v>114.26666666666668</v>
      </c>
      <c r="J87" s="155">
        <f>IF(E87&gt;0,(I87-E87)/E87,(IF(I87=0,"N/A",100%)))</f>
        <v>3.8787878787878906E-2</v>
      </c>
      <c r="K87" s="959">
        <f>+'NEW Spring CHP by DISC'!K87/15</f>
        <v>110.13333333333334</v>
      </c>
      <c r="L87" s="154">
        <f>+'NEW Spring CHP by DISC'!L87/15</f>
        <v>23.066666666666666</v>
      </c>
      <c r="M87" s="154">
        <f>+'NEW Spring CHP by DISC'!M87/12</f>
        <v>0</v>
      </c>
      <c r="N87" s="154">
        <f>SUM(K87:M87)</f>
        <v>133.20000000000002</v>
      </c>
      <c r="O87" s="155">
        <f>IF(I87&gt;0,(N87-I87)/I87,(IF(N87=0,"N/A",100%)))</f>
        <v>0.16569428238039674</v>
      </c>
      <c r="P87" s="959">
        <f>+'NEW Spring CHP by DISC'!P87/15</f>
        <v>122.13333333333334</v>
      </c>
      <c r="Q87" s="154">
        <f>+'NEW Spring CHP by DISC'!Q87/15</f>
        <v>26</v>
      </c>
      <c r="R87" s="154">
        <f>+'NEW Spring CHP by DISC'!R87/12</f>
        <v>0</v>
      </c>
      <c r="S87" s="154">
        <f>SUM(P87:R87)</f>
        <v>148.13333333333333</v>
      </c>
      <c r="T87" s="155">
        <f>IF(N87&gt;0,(S87-N87)/N87,(IF(S87=0,"N/A",100%)))</f>
        <v>0.11211211211211192</v>
      </c>
      <c r="U87" s="154">
        <f>+'NEW Spring CHP by DISC'!U87/15</f>
        <v>120.26666666666667</v>
      </c>
      <c r="V87" s="154">
        <f>+'NEW Spring CHP by DISC'!V87/15</f>
        <v>21.4</v>
      </c>
      <c r="W87" s="154">
        <f>+'NEW Spring CHP by DISC'!W87/12</f>
        <v>0</v>
      </c>
      <c r="X87" s="154">
        <f>SUM(U87:W87)</f>
        <v>141.66666666666666</v>
      </c>
      <c r="Y87" s="155">
        <f>IF(S87&gt;0,(X87-S87)/S87,(IF(X87=0,"N/A",100%)))</f>
        <v>-4.365436543654367E-2</v>
      </c>
      <c r="Z87" s="512">
        <f>+'NEW Spring CHP by DISC'!Z87/15</f>
        <v>123.46666666666667</v>
      </c>
      <c r="AA87" s="512">
        <f>+'NEW Spring CHP by DISC'!AA87/15</f>
        <v>21.533333333333335</v>
      </c>
      <c r="AB87" s="512">
        <f>+'NEW Spring CHP by DISC'!AB87/12</f>
        <v>0</v>
      </c>
      <c r="AC87" s="512">
        <f>SUM(Z87:AB87)</f>
        <v>145</v>
      </c>
      <c r="AD87" s="1403">
        <f>IF(X87&gt;0,(AC87-X87)/X87,(IF(AC87=0,"N/A",100%)))</f>
        <v>2.3529411764705951E-2</v>
      </c>
      <c r="AE87" s="328"/>
      <c r="AF87" s="328"/>
      <c r="AG87" s="328"/>
      <c r="AH87" s="328"/>
      <c r="AI87" s="328"/>
      <c r="AJ87" s="328"/>
      <c r="AK87" s="328"/>
      <c r="AL87" s="328"/>
    </row>
    <row r="88" spans="1:38" x14ac:dyDescent="0.25">
      <c r="A88" s="564" t="s">
        <v>403</v>
      </c>
      <c r="B88" s="753"/>
      <c r="C88" s="753"/>
      <c r="D88" s="753"/>
      <c r="E88" s="153"/>
      <c r="F88" s="151"/>
      <c r="G88" s="152"/>
      <c r="H88" s="152"/>
      <c r="I88" s="152"/>
      <c r="J88" s="153"/>
      <c r="K88" s="1254"/>
      <c r="L88" s="152"/>
      <c r="M88" s="152"/>
      <c r="N88" s="152"/>
      <c r="O88" s="153"/>
      <c r="P88" s="1254"/>
      <c r="Q88" s="152"/>
      <c r="R88" s="152"/>
      <c r="S88" s="152"/>
      <c r="T88" s="153"/>
      <c r="U88" s="151"/>
      <c r="V88" s="152"/>
      <c r="W88" s="152"/>
      <c r="X88" s="152"/>
      <c r="Y88" s="153"/>
      <c r="Z88" s="605"/>
      <c r="AA88" s="578"/>
      <c r="AB88" s="578"/>
      <c r="AC88" s="578"/>
      <c r="AD88" s="518"/>
      <c r="AE88" s="328"/>
      <c r="AF88" s="328"/>
      <c r="AG88" s="328"/>
      <c r="AH88" s="328"/>
      <c r="AI88" s="328"/>
      <c r="AJ88" s="328"/>
      <c r="AK88" s="328"/>
      <c r="AL88" s="328"/>
    </row>
    <row r="89" spans="1:38" x14ac:dyDescent="0.25">
      <c r="A89" s="566" t="s">
        <v>1302</v>
      </c>
      <c r="B89" s="154">
        <f>+'NEW Spring CHP by DISC'!B89/15</f>
        <v>26.666666666666668</v>
      </c>
      <c r="C89" s="154">
        <f>+'NEW Spring CHP by DISC'!C89/15</f>
        <v>9</v>
      </c>
      <c r="D89" s="154">
        <f>+'NEW Spring CHP by DISC'!D89/12</f>
        <v>0</v>
      </c>
      <c r="E89" s="745">
        <f>SUM(B89:D89)</f>
        <v>35.666666666666671</v>
      </c>
      <c r="F89" s="154">
        <f>+'NEW Spring CHP by DISC'!F89/15</f>
        <v>27.066666666666666</v>
      </c>
      <c r="G89" s="154">
        <f>+'NEW Spring CHP by DISC'!G89/15</f>
        <v>4.4000000000000004</v>
      </c>
      <c r="H89" s="154">
        <f>+'NEW Spring CHP by DISC'!H89/12</f>
        <v>0</v>
      </c>
      <c r="I89" s="154">
        <f>SUM(F89:H89)</f>
        <v>31.466666666666669</v>
      </c>
      <c r="J89" s="155">
        <f>IF(E89&gt;0,(I89-E89)/E89,(IF(I89=0,"N/A",100%)))</f>
        <v>-0.11775700934579446</v>
      </c>
      <c r="K89" s="959">
        <f>+'NEW Spring CHP by DISC'!K89/15</f>
        <v>36.666666666666664</v>
      </c>
      <c r="L89" s="154">
        <f>+'NEW Spring CHP by DISC'!L89/15</f>
        <v>7.6</v>
      </c>
      <c r="M89" s="154">
        <f>+'NEW Spring CHP by DISC'!M89/12</f>
        <v>0</v>
      </c>
      <c r="N89" s="154">
        <f>SUM(K89:M89)</f>
        <v>44.266666666666666</v>
      </c>
      <c r="O89" s="155">
        <f>IF(I89&gt;0,(N89-I89)/I89,(IF(N89=0,"N/A",100%)))</f>
        <v>0.40677966101694901</v>
      </c>
      <c r="P89" s="959">
        <f>+'NEW Spring CHP by DISC'!P89/15</f>
        <v>34</v>
      </c>
      <c r="Q89" s="154">
        <f>+'NEW Spring CHP by DISC'!Q89/15</f>
        <v>6.8</v>
      </c>
      <c r="R89" s="154">
        <f>+'NEW Spring CHP by DISC'!R89/12</f>
        <v>0</v>
      </c>
      <c r="S89" s="154">
        <f>SUM(P89:R89)</f>
        <v>40.799999999999997</v>
      </c>
      <c r="T89" s="155">
        <f>IF(N89&gt;0,(S89-N89)/N89,(IF(S89=0,"N/A",100%)))</f>
        <v>-7.8313253012048237E-2</v>
      </c>
      <c r="U89" s="154">
        <f>+'NEW Spring CHP by DISC'!U89/15</f>
        <v>37.200000000000003</v>
      </c>
      <c r="V89" s="154">
        <f>+'NEW Spring CHP by DISC'!V89/15</f>
        <v>8</v>
      </c>
      <c r="W89" s="154">
        <f>+'NEW Spring CHP by DISC'!W89/12</f>
        <v>0</v>
      </c>
      <c r="X89" s="154">
        <f>SUM(U89:W89)</f>
        <v>45.2</v>
      </c>
      <c r="Y89" s="155">
        <f>IF(S89&gt;0,(X89-S89)/S89,(IF(X89=0,"N/A",100%)))</f>
        <v>0.10784313725490211</v>
      </c>
      <c r="Z89" s="512">
        <f>+'NEW Spring CHP by DISC'!Z89/15</f>
        <v>41.06666666666667</v>
      </c>
      <c r="AA89" s="512">
        <f>+'NEW Spring CHP by DISC'!AA89/15</f>
        <v>6.8</v>
      </c>
      <c r="AB89" s="512">
        <f>+'NEW Spring CHP by DISC'!AB89/12</f>
        <v>0</v>
      </c>
      <c r="AC89" s="512">
        <f>SUM(Z89:AB89)</f>
        <v>47.866666666666667</v>
      </c>
      <c r="AD89" s="1403">
        <f>IF(X89&gt;0,(AC89-X89)/X89,(IF(AC89=0,"N/A",100%)))</f>
        <v>5.8997050147492569E-2</v>
      </c>
      <c r="AE89" s="328"/>
      <c r="AF89" s="328"/>
      <c r="AG89" s="328"/>
      <c r="AH89" s="328"/>
      <c r="AI89" s="328"/>
      <c r="AJ89" s="328"/>
      <c r="AK89" s="328"/>
      <c r="AL89" s="328"/>
    </row>
    <row r="90" spans="1:38" x14ac:dyDescent="0.25">
      <c r="A90" s="566" t="s">
        <v>799</v>
      </c>
      <c r="B90" s="154">
        <f>+'NEW Spring CHP by DISC'!B90/15</f>
        <v>120.4</v>
      </c>
      <c r="C90" s="154">
        <f>+'NEW Spring CHP by DISC'!C90/15</f>
        <v>2.4666666666666668</v>
      </c>
      <c r="D90" s="154">
        <f>+'NEW Spring CHP by DISC'!D90/12</f>
        <v>0</v>
      </c>
      <c r="E90" s="745">
        <f>SUM(B90:D90)</f>
        <v>122.86666666666667</v>
      </c>
      <c r="F90" s="154">
        <f>+'NEW Spring CHP by DISC'!F90/15</f>
        <v>134.80000000000001</v>
      </c>
      <c r="G90" s="154">
        <f>+'NEW Spring CHP by DISC'!G90/15</f>
        <v>6.7333333333333334</v>
      </c>
      <c r="H90" s="154">
        <f>+'NEW Spring CHP by DISC'!H90/12</f>
        <v>0</v>
      </c>
      <c r="I90" s="154">
        <f>SUM(F90:H90)</f>
        <v>141.53333333333333</v>
      </c>
      <c r="J90" s="155">
        <f>IF(E90&gt;0,(I90-E90)/E90,(IF(I90=0,"N/A",100%)))</f>
        <v>0.15192620727075412</v>
      </c>
      <c r="K90" s="959">
        <f>+'NEW Spring CHP by DISC'!K90/15</f>
        <v>166.8</v>
      </c>
      <c r="L90" s="154">
        <f>+'NEW Spring CHP by DISC'!L90/15</f>
        <v>1.7333333333333334</v>
      </c>
      <c r="M90" s="154">
        <f>+'NEW Spring CHP by DISC'!M90/12</f>
        <v>0</v>
      </c>
      <c r="N90" s="154">
        <f>SUM(K90:M90)</f>
        <v>168.53333333333333</v>
      </c>
      <c r="O90" s="155">
        <f>IF(I90&gt;0,(N90-I90)/I90,(IF(N90=0,"N/A",100%)))</f>
        <v>0.19076778144135656</v>
      </c>
      <c r="P90" s="959">
        <f>+'NEW Spring CHP by DISC'!P90/15</f>
        <v>179.53333333333333</v>
      </c>
      <c r="Q90" s="154">
        <f>+'NEW Spring CHP by DISC'!Q90/15</f>
        <v>2.9333333333333331</v>
      </c>
      <c r="R90" s="154">
        <f>+'NEW Spring CHP by DISC'!R90/12</f>
        <v>0</v>
      </c>
      <c r="S90" s="154">
        <f>SUM(P90:R90)</f>
        <v>182.46666666666667</v>
      </c>
      <c r="T90" s="155">
        <f>IF(N90&gt;0,(S90-N90)/N90,(IF(S90=0,"N/A",100%)))</f>
        <v>8.2674050632911417E-2</v>
      </c>
      <c r="U90" s="154">
        <f>+'NEW Spring CHP by DISC'!U90/15</f>
        <v>191.53333333333333</v>
      </c>
      <c r="V90" s="154">
        <f>+'NEW Spring CHP by DISC'!V90/15</f>
        <v>4.2666666666666666</v>
      </c>
      <c r="W90" s="154">
        <f>+'NEW Spring CHP by DISC'!W90/12</f>
        <v>0</v>
      </c>
      <c r="X90" s="154">
        <f>SUM(U90:W90)</f>
        <v>195.8</v>
      </c>
      <c r="Y90" s="155">
        <f>IF(S90&gt;0,(X90-S90)/S90,(IF(X90=0,"N/A",100%)))</f>
        <v>7.3072707343807136E-2</v>
      </c>
      <c r="Z90" s="512">
        <f>+'NEW Spring CHP by DISC'!Z90/15</f>
        <v>190.6</v>
      </c>
      <c r="AA90" s="512">
        <f>+'NEW Spring CHP by DISC'!AA90/15</f>
        <v>5.1333333333333337</v>
      </c>
      <c r="AB90" s="512">
        <f>+'NEW Spring CHP by DISC'!AB90/12</f>
        <v>0</v>
      </c>
      <c r="AC90" s="512">
        <f>SUM(Z90:AB90)</f>
        <v>195.73333333333332</v>
      </c>
      <c r="AD90" s="1403">
        <f>IF(X90&gt;0,(AC90-X90)/X90,(IF(AC90=0,"N/A",100%)))</f>
        <v>-3.4048348655102808E-4</v>
      </c>
      <c r="AE90" s="328"/>
      <c r="AF90" s="328"/>
      <c r="AG90" s="328"/>
      <c r="AH90" s="328"/>
      <c r="AI90" s="328"/>
      <c r="AJ90" s="328"/>
      <c r="AK90" s="328"/>
      <c r="AL90" s="328"/>
    </row>
    <row r="91" spans="1:38" s="575" customFormat="1" ht="13.8" x14ac:dyDescent="0.25">
      <c r="A91" s="615" t="s">
        <v>961</v>
      </c>
      <c r="B91" s="611">
        <f t="shared" ref="B91:I91" si="69">SUM(B89:B90)</f>
        <v>147.06666666666666</v>
      </c>
      <c r="C91" s="611">
        <f t="shared" si="69"/>
        <v>11.466666666666667</v>
      </c>
      <c r="D91" s="611">
        <f t="shared" si="69"/>
        <v>0</v>
      </c>
      <c r="E91" s="748">
        <f t="shared" si="69"/>
        <v>158.53333333333336</v>
      </c>
      <c r="F91" s="611">
        <f t="shared" si="69"/>
        <v>161.86666666666667</v>
      </c>
      <c r="G91" s="611">
        <f t="shared" si="69"/>
        <v>11.133333333333333</v>
      </c>
      <c r="H91" s="611">
        <f t="shared" si="69"/>
        <v>0</v>
      </c>
      <c r="I91" s="611">
        <f t="shared" si="69"/>
        <v>173</v>
      </c>
      <c r="J91" s="613">
        <f>IF(E91&gt;0,(I91-E91)/E91,(IF(I91=0,"N/A",100%)))</f>
        <v>9.1253153910849275E-2</v>
      </c>
      <c r="K91" s="1259">
        <f>SUM(K89:K90)</f>
        <v>203.46666666666667</v>
      </c>
      <c r="L91" s="611">
        <f>SUM(L89:L90)</f>
        <v>9.3333333333333321</v>
      </c>
      <c r="M91" s="611">
        <f>SUM(M89:M90)</f>
        <v>0</v>
      </c>
      <c r="N91" s="611">
        <f>SUM(N89:N90)</f>
        <v>212.8</v>
      </c>
      <c r="O91" s="613">
        <f>IF(I91&gt;0,(N91-I91)/I91,(IF(N91=0,"N/A",100%)))</f>
        <v>0.23005780346820817</v>
      </c>
      <c r="P91" s="1259">
        <f>SUM(P89:P90)</f>
        <v>213.53333333333333</v>
      </c>
      <c r="Q91" s="611">
        <f>SUM(Q89:Q90)</f>
        <v>9.7333333333333325</v>
      </c>
      <c r="R91" s="611">
        <f>SUM(R89:R90)</f>
        <v>0</v>
      </c>
      <c r="S91" s="611">
        <f>SUM(S89:S90)</f>
        <v>223.26666666666665</v>
      </c>
      <c r="T91" s="613">
        <f>IF(N91&gt;0,(S91-N91)/N91,(IF(S91=0,"N/A",100%)))</f>
        <v>4.9185463659147742E-2</v>
      </c>
      <c r="U91" s="611">
        <f>SUM(U89:U90)</f>
        <v>228.73333333333335</v>
      </c>
      <c r="V91" s="611">
        <f>SUM(V89:V90)</f>
        <v>12.266666666666666</v>
      </c>
      <c r="W91" s="611">
        <f>SUM(W89:W90)</f>
        <v>0</v>
      </c>
      <c r="X91" s="611">
        <f>SUM(X89:X90)</f>
        <v>241</v>
      </c>
      <c r="Y91" s="613">
        <f>IF(S91&gt;0,(X91-S91)/S91,(IF(X91=0,"N/A",100%)))</f>
        <v>7.9426694535682366E-2</v>
      </c>
      <c r="Z91" s="1411">
        <f>SUM(Z89:Z90)</f>
        <v>231.66666666666666</v>
      </c>
      <c r="AA91" s="1411">
        <f>SUM(AA89:AA90)</f>
        <v>11.933333333333334</v>
      </c>
      <c r="AB91" s="1411">
        <f>SUM(AB89:AB90)</f>
        <v>0</v>
      </c>
      <c r="AC91" s="1411">
        <f>SUM(AC89:AC90)</f>
        <v>243.6</v>
      </c>
      <c r="AD91" s="1405">
        <f>IF(X91&gt;0,(AC91-X91)/X91,(IF(AC91=0,"N/A",100%)))</f>
        <v>1.0788381742738565E-2</v>
      </c>
    </row>
    <row r="92" spans="1:38" customFormat="1" x14ac:dyDescent="0.25">
      <c r="A92" s="640" t="s">
        <v>405</v>
      </c>
      <c r="B92" s="617"/>
      <c r="C92" s="617"/>
      <c r="D92" s="617"/>
      <c r="E92" s="618"/>
      <c r="F92" s="619"/>
      <c r="G92" s="617"/>
      <c r="H92" s="617"/>
      <c r="I92" s="617"/>
      <c r="J92" s="618"/>
      <c r="K92" s="1261"/>
      <c r="L92" s="617"/>
      <c r="M92" s="617"/>
      <c r="N92" s="617"/>
      <c r="O92" s="618"/>
      <c r="P92" s="1261"/>
      <c r="Q92" s="617"/>
      <c r="R92" s="617"/>
      <c r="S92" s="617"/>
      <c r="T92" s="618"/>
      <c r="U92" s="619"/>
      <c r="V92" s="617"/>
      <c r="W92" s="617"/>
      <c r="X92" s="617"/>
      <c r="Y92" s="618"/>
      <c r="Z92" s="605"/>
      <c r="AA92" s="578"/>
      <c r="AB92" s="578"/>
      <c r="AC92" s="578"/>
      <c r="AD92" s="518"/>
    </row>
    <row r="93" spans="1:38" x14ac:dyDescent="0.25">
      <c r="A93" s="566" t="s">
        <v>1007</v>
      </c>
      <c r="B93" s="154">
        <f>+'NEW Spring CHP by DISC'!B93/15</f>
        <v>65.86666666666666</v>
      </c>
      <c r="C93" s="154">
        <f>+'NEW Spring CHP by DISC'!C93/15</f>
        <v>12.733333333333333</v>
      </c>
      <c r="D93" s="154">
        <f>+'NEW Spring CHP by DISC'!D93/12</f>
        <v>0</v>
      </c>
      <c r="E93" s="375">
        <f>SUM(B93:D93)</f>
        <v>78.599999999999994</v>
      </c>
      <c r="F93" s="154">
        <f>+'NEW Spring CHP by DISC'!F93/15</f>
        <v>63.466666666666669</v>
      </c>
      <c r="G93" s="154">
        <f>+'NEW Spring CHP by DISC'!G93/15</f>
        <v>19.533333333333335</v>
      </c>
      <c r="H93" s="154">
        <f>+'NEW Spring CHP by DISC'!H93/12</f>
        <v>0</v>
      </c>
      <c r="I93" s="581">
        <f>SUM(F93:H93)</f>
        <v>83</v>
      </c>
      <c r="J93" s="582">
        <f t="shared" ref="J93:J98" si="70">IF(E93&gt;0,(I93-E93)/E93,(IF(I93=0,"N/A",100%)))</f>
        <v>5.5979643765903385E-2</v>
      </c>
      <c r="K93" s="959">
        <f>+'NEW Spring CHP by DISC'!K93/15</f>
        <v>80.266666666666666</v>
      </c>
      <c r="L93" s="154">
        <f>+'NEW Spring CHP by DISC'!L93/15</f>
        <v>16.533333333333335</v>
      </c>
      <c r="M93" s="154">
        <f>+'NEW Spring CHP by DISC'!M93/12</f>
        <v>0</v>
      </c>
      <c r="N93" s="581">
        <f>SUM(K93:M93)</f>
        <v>96.8</v>
      </c>
      <c r="O93" s="155">
        <f t="shared" ref="O93:O98" si="71">IF(I93&gt;0,(N93-I93)/I93,(IF(N93=0,"N/A",100%)))</f>
        <v>0.16626506024096382</v>
      </c>
      <c r="P93" s="959">
        <f>+'NEW Spring CHP by DISC'!P93/15</f>
        <v>88</v>
      </c>
      <c r="Q93" s="154">
        <f>+'NEW Spring CHP by DISC'!Q93/15</f>
        <v>19.666666666666668</v>
      </c>
      <c r="R93" s="154">
        <f>+'NEW Spring CHP by DISC'!R93/12</f>
        <v>0</v>
      </c>
      <c r="S93" s="581">
        <f>SUM(P93:R93)</f>
        <v>107.66666666666667</v>
      </c>
      <c r="T93" s="155">
        <f t="shared" ref="T93:T98" si="72">IF(N93&gt;0,(S93-N93)/N93,(IF(S93=0,"N/A",100%)))</f>
        <v>0.11225895316804416</v>
      </c>
      <c r="U93" s="154">
        <f>+'NEW Spring CHP by DISC'!U93/15</f>
        <v>83.733333333333334</v>
      </c>
      <c r="V93" s="154">
        <f>+'NEW Spring CHP by DISC'!V93/15</f>
        <v>13.333333333333334</v>
      </c>
      <c r="W93" s="154">
        <f>+'NEW Spring CHP by DISC'!W93/12</f>
        <v>0</v>
      </c>
      <c r="X93" s="581">
        <f>SUM(U93:W93)</f>
        <v>97.066666666666663</v>
      </c>
      <c r="Y93" s="155">
        <f t="shared" ref="Y93:Y98" si="73">IF(S93&gt;0,(X93-S93)/S93,(IF(X93=0,"N/A",100%)))</f>
        <v>-9.8452012383901E-2</v>
      </c>
      <c r="Z93" s="512">
        <f>+'NEW Spring CHP by DISC'!Z93/15</f>
        <v>85.333333333333329</v>
      </c>
      <c r="AA93" s="512">
        <f>+'NEW Spring CHP by DISC'!AA93/15</f>
        <v>19.2</v>
      </c>
      <c r="AB93" s="512">
        <f>+'NEW Spring CHP by DISC'!AB93/12</f>
        <v>0</v>
      </c>
      <c r="AC93" s="1111">
        <f>SUM(Z93:AB93)</f>
        <v>104.53333333333333</v>
      </c>
      <c r="AD93" s="1403">
        <f t="shared" ref="AD93:AD98" si="74">IF(X93&gt;0,(AC93-X93)/X93,(IF(AC93=0,"N/A",100%)))</f>
        <v>7.6923076923076941E-2</v>
      </c>
      <c r="AE93" s="328"/>
      <c r="AF93" s="328"/>
      <c r="AG93" s="328"/>
      <c r="AH93" s="328"/>
      <c r="AI93" s="328"/>
      <c r="AJ93" s="328"/>
      <c r="AK93" s="328"/>
      <c r="AL93" s="328"/>
    </row>
    <row r="94" spans="1:38" x14ac:dyDescent="0.25">
      <c r="A94" s="566" t="s">
        <v>1008</v>
      </c>
      <c r="B94" s="154">
        <f>+'NEW Spring CHP by DISC'!B94/15</f>
        <v>0</v>
      </c>
      <c r="C94" s="154">
        <f>+'NEW Spring CHP by DISC'!C94/15</f>
        <v>0.53333333333333333</v>
      </c>
      <c r="D94" s="154">
        <f>+'NEW Spring CHP by DISC'!D94/12</f>
        <v>0</v>
      </c>
      <c r="E94" s="375">
        <f>SUM(B94:D94)</f>
        <v>0.53333333333333333</v>
      </c>
      <c r="F94" s="154">
        <f>+'NEW Spring CHP by DISC'!F94/15</f>
        <v>0</v>
      </c>
      <c r="G94" s="154">
        <f>+'NEW Spring CHP by DISC'!G94/15</f>
        <v>1.8</v>
      </c>
      <c r="H94" s="154">
        <f>+'NEW Spring CHP by DISC'!H94/12</f>
        <v>0</v>
      </c>
      <c r="I94" s="581">
        <f>SUM(F94:H94)</f>
        <v>1.8</v>
      </c>
      <c r="J94" s="582">
        <f t="shared" si="70"/>
        <v>2.375</v>
      </c>
      <c r="K94" s="959">
        <f>+'NEW Spring CHP by DISC'!K94/15</f>
        <v>0</v>
      </c>
      <c r="L94" s="154">
        <f>+'NEW Spring CHP by DISC'!L94/15</f>
        <v>1.0666666666666667</v>
      </c>
      <c r="M94" s="154">
        <f>+'NEW Spring CHP by DISC'!M94/12</f>
        <v>0</v>
      </c>
      <c r="N94" s="581">
        <f>SUM(K94:M94)</f>
        <v>1.0666666666666667</v>
      </c>
      <c r="O94" s="155">
        <f t="shared" si="71"/>
        <v>-0.40740740740740744</v>
      </c>
      <c r="P94" s="959">
        <f>+'NEW Spring CHP by DISC'!P94/15</f>
        <v>0</v>
      </c>
      <c r="Q94" s="154">
        <f>+'NEW Spring CHP by DISC'!Q94/15</f>
        <v>4.8</v>
      </c>
      <c r="R94" s="154">
        <f>+'NEW Spring CHP by DISC'!R94/12</f>
        <v>0</v>
      </c>
      <c r="S94" s="581">
        <f>SUM(P94:R94)</f>
        <v>4.8</v>
      </c>
      <c r="T94" s="155">
        <f t="shared" si="72"/>
        <v>3.5</v>
      </c>
      <c r="U94" s="154">
        <f>+'NEW Spring CHP by DISC'!U94/15</f>
        <v>0</v>
      </c>
      <c r="V94" s="154">
        <f>+'NEW Spring CHP by DISC'!V94/15</f>
        <v>1.2</v>
      </c>
      <c r="W94" s="154">
        <f>+'NEW Spring CHP by DISC'!W94/12</f>
        <v>0</v>
      </c>
      <c r="X94" s="581">
        <f>SUM(U94:W94)</f>
        <v>1.2</v>
      </c>
      <c r="Y94" s="155">
        <f t="shared" si="73"/>
        <v>-0.75</v>
      </c>
      <c r="Z94" s="512">
        <f>+'NEW Spring CHP by DISC'!Z94/15</f>
        <v>0</v>
      </c>
      <c r="AA94" s="512">
        <f>+'NEW Spring CHP by DISC'!AA94/15</f>
        <v>3.4</v>
      </c>
      <c r="AB94" s="512">
        <f>+'NEW Spring CHP by DISC'!AB94/12</f>
        <v>0</v>
      </c>
      <c r="AC94" s="1111">
        <f>SUM(Z94:AB94)</f>
        <v>3.4</v>
      </c>
      <c r="AD94" s="1403">
        <f t="shared" si="74"/>
        <v>1.8333333333333335</v>
      </c>
      <c r="AE94" s="328"/>
      <c r="AF94" s="328"/>
      <c r="AG94" s="328"/>
      <c r="AH94" s="328"/>
      <c r="AI94" s="328"/>
      <c r="AJ94" s="328"/>
      <c r="AK94" s="328"/>
      <c r="AL94" s="328"/>
    </row>
    <row r="95" spans="1:38" x14ac:dyDescent="0.25">
      <c r="A95" s="566" t="s">
        <v>992</v>
      </c>
      <c r="B95" s="154">
        <f>+'NEW Spring CHP by DISC'!B95/15</f>
        <v>10.133333333333333</v>
      </c>
      <c r="C95" s="154">
        <f>+'NEW Spring CHP by DISC'!C95/15</f>
        <v>1</v>
      </c>
      <c r="D95" s="154">
        <f>+'NEW Spring CHP by DISC'!D95/12</f>
        <v>0</v>
      </c>
      <c r="E95" s="375">
        <f>SUM(B95:D95)</f>
        <v>11.133333333333333</v>
      </c>
      <c r="F95" s="154">
        <f>+'NEW Spring CHP by DISC'!F95/15</f>
        <v>11.466666666666667</v>
      </c>
      <c r="G95" s="154">
        <f>+'NEW Spring CHP by DISC'!G95/15</f>
        <v>0</v>
      </c>
      <c r="H95" s="154">
        <f>+'NEW Spring CHP by DISC'!H95/12</f>
        <v>0</v>
      </c>
      <c r="I95" s="581">
        <f>SUM(F95:H95)</f>
        <v>11.466666666666667</v>
      </c>
      <c r="J95" s="582">
        <f t="shared" si="70"/>
        <v>2.9940119760479098E-2</v>
      </c>
      <c r="K95" s="959">
        <f>+'NEW Spring CHP by DISC'!K95/15</f>
        <v>10.666666666666666</v>
      </c>
      <c r="L95" s="154">
        <f>+'NEW Spring CHP by DISC'!L95/15</f>
        <v>1</v>
      </c>
      <c r="M95" s="154">
        <f>+'NEW Spring CHP by DISC'!M95/12</f>
        <v>0</v>
      </c>
      <c r="N95" s="581">
        <f>SUM(K95:M95)</f>
        <v>11.666666666666666</v>
      </c>
      <c r="O95" s="155">
        <f t="shared" si="71"/>
        <v>1.7441860465116216E-2</v>
      </c>
      <c r="P95" s="959">
        <f>+'NEW Spring CHP by DISC'!P95/15</f>
        <v>10.666666666666666</v>
      </c>
      <c r="Q95" s="154">
        <f>+'NEW Spring CHP by DISC'!Q95/15</f>
        <v>0</v>
      </c>
      <c r="R95" s="154">
        <f>+'NEW Spring CHP by DISC'!R95/12</f>
        <v>0</v>
      </c>
      <c r="S95" s="581">
        <f>SUM(P95:R95)</f>
        <v>10.666666666666666</v>
      </c>
      <c r="T95" s="155">
        <f t="shared" si="72"/>
        <v>-8.5714285714285715E-2</v>
      </c>
      <c r="U95" s="154">
        <f>+'NEW Spring CHP by DISC'!U95/15</f>
        <v>10.666666666666666</v>
      </c>
      <c r="V95" s="154">
        <f>+'NEW Spring CHP by DISC'!V95/15</f>
        <v>1.6</v>
      </c>
      <c r="W95" s="154">
        <f>+'NEW Spring CHP by DISC'!W95/12</f>
        <v>0</v>
      </c>
      <c r="X95" s="581">
        <f>SUM(U95:W95)</f>
        <v>12.266666666666666</v>
      </c>
      <c r="Y95" s="155">
        <f t="shared" si="73"/>
        <v>0.14999999999999997</v>
      </c>
      <c r="Z95" s="512">
        <f>+'NEW Spring CHP by DISC'!Z95/15</f>
        <v>10.666666666666666</v>
      </c>
      <c r="AA95" s="512">
        <f>+'NEW Spring CHP by DISC'!AA95/15</f>
        <v>0</v>
      </c>
      <c r="AB95" s="512">
        <f>+'NEW Spring CHP by DISC'!AB95/12</f>
        <v>0</v>
      </c>
      <c r="AC95" s="1111">
        <f>SUM(Z95:AB95)</f>
        <v>10.666666666666666</v>
      </c>
      <c r="AD95" s="1403">
        <f t="shared" si="74"/>
        <v>-0.13043478260869562</v>
      </c>
      <c r="AE95" s="328"/>
      <c r="AF95" s="328"/>
      <c r="AG95" s="328"/>
      <c r="AH95" s="328"/>
      <c r="AI95" s="328"/>
      <c r="AJ95" s="328"/>
      <c r="AK95" s="328"/>
      <c r="AL95" s="328"/>
    </row>
    <row r="96" spans="1:38" x14ac:dyDescent="0.25">
      <c r="A96" s="566" t="s">
        <v>1010</v>
      </c>
      <c r="B96" s="154">
        <f>+'NEW Spring CHP by DISC'!B96/15</f>
        <v>10.933333333333334</v>
      </c>
      <c r="C96" s="154">
        <f>+'NEW Spring CHP by DISC'!C96/15</f>
        <v>0.8</v>
      </c>
      <c r="D96" s="154">
        <f>+'NEW Spring CHP by DISC'!D96/12</f>
        <v>0</v>
      </c>
      <c r="E96" s="375">
        <f>SUM(B96:D96)</f>
        <v>11.733333333333334</v>
      </c>
      <c r="F96" s="154">
        <f>+'NEW Spring CHP by DISC'!F96/15</f>
        <v>7.4666666666666668</v>
      </c>
      <c r="G96" s="154">
        <f>+'NEW Spring CHP by DISC'!G96/15</f>
        <v>0</v>
      </c>
      <c r="H96" s="154">
        <f>+'NEW Spring CHP by DISC'!H96/12</f>
        <v>0</v>
      </c>
      <c r="I96" s="581">
        <f>SUM(F96:H96)</f>
        <v>7.4666666666666668</v>
      </c>
      <c r="J96" s="582">
        <f t="shared" si="70"/>
        <v>-0.3636363636363637</v>
      </c>
      <c r="K96" s="959">
        <f>+'NEW Spring CHP by DISC'!K96/15</f>
        <v>7.4666666666666668</v>
      </c>
      <c r="L96" s="154">
        <f>+'NEW Spring CHP by DISC'!L96/15</f>
        <v>0.53333333333333333</v>
      </c>
      <c r="M96" s="154">
        <f>+'NEW Spring CHP by DISC'!M96/12</f>
        <v>0</v>
      </c>
      <c r="N96" s="581">
        <f>SUM(K96:M96)</f>
        <v>8</v>
      </c>
      <c r="O96" s="155">
        <f t="shared" si="71"/>
        <v>7.1428571428571411E-2</v>
      </c>
      <c r="P96" s="959">
        <f>+'NEW Spring CHP by DISC'!P96/15</f>
        <v>11.466666666666667</v>
      </c>
      <c r="Q96" s="154">
        <f>+'NEW Spring CHP by DISC'!Q96/15</f>
        <v>0</v>
      </c>
      <c r="R96" s="154">
        <f>+'NEW Spring CHP by DISC'!R96/12</f>
        <v>0</v>
      </c>
      <c r="S96" s="581">
        <f>SUM(P96:R96)</f>
        <v>11.466666666666667</v>
      </c>
      <c r="T96" s="155">
        <f t="shared" si="72"/>
        <v>0.43333333333333335</v>
      </c>
      <c r="U96" s="154">
        <f>+'NEW Spring CHP by DISC'!U96/15</f>
        <v>8</v>
      </c>
      <c r="V96" s="154">
        <f>+'NEW Spring CHP by DISC'!V96/15</f>
        <v>0</v>
      </c>
      <c r="W96" s="154">
        <f>+'NEW Spring CHP by DISC'!W96/12</f>
        <v>0</v>
      </c>
      <c r="X96" s="581">
        <f>SUM(U96:W96)</f>
        <v>8</v>
      </c>
      <c r="Y96" s="155">
        <f t="shared" si="73"/>
        <v>-0.30232558139534882</v>
      </c>
      <c r="Z96" s="512">
        <f>+'NEW Spring CHP by DISC'!Z96/15</f>
        <v>11.2</v>
      </c>
      <c r="AA96" s="512">
        <f>+'NEW Spring CHP by DISC'!AA96/15</f>
        <v>0</v>
      </c>
      <c r="AB96" s="512">
        <f>+'NEW Spring CHP by DISC'!AB96/12</f>
        <v>0</v>
      </c>
      <c r="AC96" s="1111">
        <f>SUM(Z96:AB96)</f>
        <v>11.2</v>
      </c>
      <c r="AD96" s="1403">
        <f t="shared" si="74"/>
        <v>0.39999999999999991</v>
      </c>
      <c r="AE96" s="328"/>
      <c r="AF96" s="328"/>
      <c r="AG96" s="328"/>
      <c r="AH96" s="328"/>
      <c r="AI96" s="328"/>
      <c r="AJ96" s="328"/>
      <c r="AK96" s="328"/>
      <c r="AL96" s="328"/>
    </row>
    <row r="97" spans="1:38" x14ac:dyDescent="0.25">
      <c r="A97" s="566" t="s">
        <v>1011</v>
      </c>
      <c r="B97" s="154">
        <f>+'NEW Spring CHP by DISC'!B97/15</f>
        <v>21.066666666666666</v>
      </c>
      <c r="C97" s="154">
        <f>+'NEW Spring CHP by DISC'!C97/15</f>
        <v>0</v>
      </c>
      <c r="D97" s="154">
        <f>+'NEW Spring CHP by DISC'!D97/12</f>
        <v>0</v>
      </c>
      <c r="E97" s="375">
        <f>SUM(B97:D97)</f>
        <v>21.066666666666666</v>
      </c>
      <c r="F97" s="154">
        <f>+'NEW Spring CHP by DISC'!F97/15</f>
        <v>26.133333333333333</v>
      </c>
      <c r="G97" s="154">
        <f>+'NEW Spring CHP by DISC'!G97/15</f>
        <v>0</v>
      </c>
      <c r="H97" s="154">
        <f>+'NEW Spring CHP by DISC'!H97/12</f>
        <v>0</v>
      </c>
      <c r="I97" s="581">
        <f>SUM(F97:H97)</f>
        <v>26.133333333333333</v>
      </c>
      <c r="J97" s="582">
        <f t="shared" si="70"/>
        <v>0.24050632911392406</v>
      </c>
      <c r="K97" s="959">
        <f>+'NEW Spring CHP by DISC'!K97/15</f>
        <v>30.133333333333333</v>
      </c>
      <c r="L97" s="154">
        <f>+'NEW Spring CHP by DISC'!L97/15</f>
        <v>0</v>
      </c>
      <c r="M97" s="154">
        <f>+'NEW Spring CHP by DISC'!M97/12</f>
        <v>0</v>
      </c>
      <c r="N97" s="581">
        <f>SUM(K97:M97)</f>
        <v>30.133333333333333</v>
      </c>
      <c r="O97" s="155">
        <f t="shared" si="71"/>
        <v>0.15306122448979592</v>
      </c>
      <c r="P97" s="959">
        <f>+'NEW Spring CHP by DISC'!P97/15</f>
        <v>25.866666666666667</v>
      </c>
      <c r="Q97" s="154">
        <f>+'NEW Spring CHP by DISC'!Q97/15</f>
        <v>0.93333333333333335</v>
      </c>
      <c r="R97" s="154">
        <f>+'NEW Spring CHP by DISC'!R97/12</f>
        <v>0</v>
      </c>
      <c r="S97" s="581">
        <f>SUM(P97:R97)</f>
        <v>26.8</v>
      </c>
      <c r="T97" s="155">
        <f t="shared" si="72"/>
        <v>-0.11061946902654864</v>
      </c>
      <c r="U97" s="154">
        <f>+'NEW Spring CHP by DISC'!U97/15</f>
        <v>26.933333333333334</v>
      </c>
      <c r="V97" s="154">
        <f>+'NEW Spring CHP by DISC'!V97/15</f>
        <v>2.6</v>
      </c>
      <c r="W97" s="154">
        <f>+'NEW Spring CHP by DISC'!W97/12</f>
        <v>0</v>
      </c>
      <c r="X97" s="581">
        <f>SUM(U97:W97)</f>
        <v>29.533333333333335</v>
      </c>
      <c r="Y97" s="155">
        <f t="shared" si="73"/>
        <v>0.10199004975124382</v>
      </c>
      <c r="Z97" s="512">
        <f>+'NEW Spring CHP by DISC'!Z97/15</f>
        <v>21.333333333333332</v>
      </c>
      <c r="AA97" s="512">
        <f>+'NEW Spring CHP by DISC'!AA97/15</f>
        <v>2</v>
      </c>
      <c r="AB97" s="512">
        <f>+'NEW Spring CHP by DISC'!AB97/12</f>
        <v>0</v>
      </c>
      <c r="AC97" s="1111">
        <f>SUM(Z97:AB97)</f>
        <v>23.333333333333332</v>
      </c>
      <c r="AD97" s="1403">
        <f t="shared" si="74"/>
        <v>-0.20993227990970664</v>
      </c>
      <c r="AE97" s="328"/>
      <c r="AF97" s="328"/>
      <c r="AG97" s="328"/>
      <c r="AH97" s="328"/>
      <c r="AI97" s="328"/>
      <c r="AJ97" s="328"/>
      <c r="AK97" s="328"/>
      <c r="AL97" s="328"/>
    </row>
    <row r="98" spans="1:38" s="575" customFormat="1" ht="13.8" x14ac:dyDescent="0.25">
      <c r="A98" s="615" t="s">
        <v>961</v>
      </c>
      <c r="B98" s="586">
        <f t="shared" ref="B98:I98" si="75">SUM(B93:B97)</f>
        <v>108</v>
      </c>
      <c r="C98" s="586">
        <f t="shared" si="75"/>
        <v>15.066666666666666</v>
      </c>
      <c r="D98" s="586">
        <f t="shared" si="75"/>
        <v>0</v>
      </c>
      <c r="E98" s="587">
        <f t="shared" si="75"/>
        <v>123.06666666666665</v>
      </c>
      <c r="F98" s="585">
        <f t="shared" si="75"/>
        <v>108.53333333333333</v>
      </c>
      <c r="G98" s="586">
        <f t="shared" si="75"/>
        <v>21.333333333333336</v>
      </c>
      <c r="H98" s="586">
        <f t="shared" si="75"/>
        <v>0</v>
      </c>
      <c r="I98" s="586">
        <f t="shared" si="75"/>
        <v>129.86666666666667</v>
      </c>
      <c r="J98" s="588">
        <f t="shared" si="70"/>
        <v>5.5254604550379414E-2</v>
      </c>
      <c r="K98" s="1219">
        <f>SUM(K93:K97)</f>
        <v>128.53333333333333</v>
      </c>
      <c r="L98" s="586">
        <f>SUM(L93:L97)</f>
        <v>19.133333333333336</v>
      </c>
      <c r="M98" s="586">
        <f>SUM(M93:M97)</f>
        <v>0</v>
      </c>
      <c r="N98" s="586">
        <f>SUM(N93:N97)</f>
        <v>147.66666666666666</v>
      </c>
      <c r="O98" s="613">
        <f t="shared" si="71"/>
        <v>0.13706365503080067</v>
      </c>
      <c r="P98" s="1219">
        <f>SUM(P93:P97)</f>
        <v>136</v>
      </c>
      <c r="Q98" s="586">
        <f>SUM(Q93:Q97)</f>
        <v>25.400000000000002</v>
      </c>
      <c r="R98" s="586">
        <f>SUM(R93:R97)</f>
        <v>0</v>
      </c>
      <c r="S98" s="586">
        <f>SUM(S93:S97)</f>
        <v>161.4</v>
      </c>
      <c r="T98" s="613">
        <f t="shared" si="72"/>
        <v>9.3002257336343222E-2</v>
      </c>
      <c r="U98" s="585">
        <f>SUM(U93:U97)</f>
        <v>129.33333333333334</v>
      </c>
      <c r="V98" s="586">
        <f>SUM(V93:V97)</f>
        <v>18.733333333333334</v>
      </c>
      <c r="W98" s="586">
        <f>SUM(W93:W97)</f>
        <v>0</v>
      </c>
      <c r="X98" s="586">
        <f>SUM(X93:X97)</f>
        <v>148.06666666666666</v>
      </c>
      <c r="Y98" s="613">
        <f t="shared" si="73"/>
        <v>-8.2610491532424668E-2</v>
      </c>
      <c r="Z98" s="1406">
        <f>SUM(Z93:Z97)</f>
        <v>128.53333333333333</v>
      </c>
      <c r="AA98" s="1407">
        <f>SUM(AA93:AA97)</f>
        <v>24.599999999999998</v>
      </c>
      <c r="AB98" s="1407">
        <f>SUM(AB93:AB97)</f>
        <v>0</v>
      </c>
      <c r="AC98" s="1407">
        <f>SUM(AC93:AC97)</f>
        <v>153.13333333333335</v>
      </c>
      <c r="AD98" s="1405">
        <f t="shared" si="74"/>
        <v>3.4218820351193321E-2</v>
      </c>
    </row>
    <row r="99" spans="1:38" customFormat="1" x14ac:dyDescent="0.25">
      <c r="A99" s="640" t="s">
        <v>404</v>
      </c>
      <c r="B99" s="617"/>
      <c r="C99" s="617"/>
      <c r="D99" s="617"/>
      <c r="E99" s="618"/>
      <c r="F99" s="619"/>
      <c r="G99" s="617"/>
      <c r="H99" s="617"/>
      <c r="I99" s="617"/>
      <c r="J99" s="618"/>
      <c r="K99" s="1261"/>
      <c r="L99" s="617"/>
      <c r="M99" s="617"/>
      <c r="N99" s="617"/>
      <c r="O99" s="618"/>
      <c r="P99" s="1261"/>
      <c r="Q99" s="617"/>
      <c r="R99" s="617"/>
      <c r="S99" s="617"/>
      <c r="T99" s="618"/>
      <c r="U99" s="619"/>
      <c r="V99" s="617"/>
      <c r="W99" s="617"/>
      <c r="X99" s="617"/>
      <c r="Y99" s="618"/>
      <c r="Z99" s="605"/>
      <c r="AA99" s="578"/>
      <c r="AB99" s="578"/>
      <c r="AC99" s="578"/>
      <c r="AD99" s="518"/>
    </row>
    <row r="100" spans="1:38" x14ac:dyDescent="0.25">
      <c r="A100" s="579" t="s">
        <v>660</v>
      </c>
      <c r="B100" s="154">
        <f>+'NEW Spring CHP by DISC'!B100/15</f>
        <v>0</v>
      </c>
      <c r="C100" s="154">
        <f>+'NEW Spring CHP by DISC'!C100/15</f>
        <v>9.4666666666666668</v>
      </c>
      <c r="D100" s="154">
        <f>+'NEW Spring CHP by DISC'!D100/12</f>
        <v>0</v>
      </c>
      <c r="E100" s="375">
        <f>SUM(B100:D100)</f>
        <v>9.4666666666666668</v>
      </c>
      <c r="F100" s="154">
        <f>+'NEW Spring CHP by DISC'!F100/15</f>
        <v>0</v>
      </c>
      <c r="G100" s="154">
        <f>+'NEW Spring CHP by DISC'!G100/15</f>
        <v>11.466666666666667</v>
      </c>
      <c r="H100" s="154">
        <f>+'NEW Spring CHP by DISC'!H100/12</f>
        <v>0</v>
      </c>
      <c r="I100" s="581">
        <f>SUM(F100:H100)</f>
        <v>11.466666666666667</v>
      </c>
      <c r="J100" s="582">
        <f>IF(E100&gt;0,(I100-E100)/E100,(IF(I100=0,"N/A",100%)))</f>
        <v>0.21126760563380281</v>
      </c>
      <c r="K100" s="959">
        <f>+'NEW Spring CHP by DISC'!K100/15</f>
        <v>0</v>
      </c>
      <c r="L100" s="154">
        <f>+'NEW Spring CHP by DISC'!L100/15</f>
        <v>8.6666666666666661</v>
      </c>
      <c r="M100" s="154">
        <f>+'NEW Spring CHP by DISC'!M100/12</f>
        <v>0</v>
      </c>
      <c r="N100" s="581">
        <f>SUM(K100:M100)</f>
        <v>8.6666666666666661</v>
      </c>
      <c r="O100" s="155">
        <f>IF(I100&gt;0,(N100-I100)/I100,(IF(N100=0,"N/A",100%)))</f>
        <v>-0.24418604651162798</v>
      </c>
      <c r="P100" s="959">
        <f>+'NEW Spring CHP by DISC'!P100/15</f>
        <v>1.4</v>
      </c>
      <c r="Q100" s="154">
        <f>+'NEW Spring CHP by DISC'!Q100/15</f>
        <v>13.4</v>
      </c>
      <c r="R100" s="154">
        <f>+'NEW Spring CHP by DISC'!R100/12</f>
        <v>0</v>
      </c>
      <c r="S100" s="581">
        <f>SUM(P100:R100)</f>
        <v>14.8</v>
      </c>
      <c r="T100" s="155">
        <f>IF(N100&gt;0,(S100-N100)/N100,(IF(S100=0,"N/A",100%)))</f>
        <v>0.70769230769230784</v>
      </c>
      <c r="U100" s="154">
        <f>+'NEW Spring CHP by DISC'!U100/15</f>
        <v>4</v>
      </c>
      <c r="V100" s="154">
        <f>+'NEW Spring CHP by DISC'!V100/15</f>
        <v>22.666666666666668</v>
      </c>
      <c r="W100" s="154">
        <f>+'NEW Spring CHP by DISC'!W100/12</f>
        <v>0</v>
      </c>
      <c r="X100" s="581">
        <f>SUM(U100:W100)</f>
        <v>26.666666666666668</v>
      </c>
      <c r="Y100" s="155">
        <f>IF(S100&gt;0,(X100-S100)/S100,(IF(X100=0,"N/A",100%)))</f>
        <v>0.80180180180180183</v>
      </c>
      <c r="Z100" s="512">
        <f>+'NEW Spring CHP by DISC'!Z100/15</f>
        <v>4</v>
      </c>
      <c r="AA100" s="512">
        <f>+'NEW Spring CHP by DISC'!AA100/15</f>
        <v>16.466666666666665</v>
      </c>
      <c r="AB100" s="512">
        <f>+'NEW Spring CHP by DISC'!AB100/12</f>
        <v>0</v>
      </c>
      <c r="AC100" s="1111">
        <f>SUM(Z100:AB100)</f>
        <v>20.466666666666665</v>
      </c>
      <c r="AD100" s="1403">
        <f>IF(X100&gt;0,(AC100-X100)/X100,(IF(AC100=0,"N/A",100%)))</f>
        <v>-0.2325000000000001</v>
      </c>
      <c r="AE100" s="328"/>
      <c r="AF100" s="328"/>
      <c r="AG100" s="328"/>
      <c r="AH100" s="328"/>
      <c r="AI100" s="328"/>
      <c r="AJ100" s="328"/>
      <c r="AK100" s="328"/>
      <c r="AL100" s="328"/>
    </row>
    <row r="101" spans="1:38" x14ac:dyDescent="0.25">
      <c r="A101" s="579" t="s">
        <v>997</v>
      </c>
      <c r="B101" s="154">
        <f>+'NEW Spring CHP by DISC'!B101/15</f>
        <v>32.93333333333333</v>
      </c>
      <c r="C101" s="154">
        <f>+'NEW Spring CHP by DISC'!C101/15</f>
        <v>47.6</v>
      </c>
      <c r="D101" s="154">
        <f>+'NEW Spring CHP by DISC'!D101/12</f>
        <v>0</v>
      </c>
      <c r="E101" s="375">
        <f>SUM(B101:D101)</f>
        <v>80.533333333333331</v>
      </c>
      <c r="F101" s="154">
        <f>+'NEW Spring CHP by DISC'!F101/15</f>
        <v>32.733333333333334</v>
      </c>
      <c r="G101" s="154">
        <f>+'NEW Spring CHP by DISC'!G101/15</f>
        <v>54.133333333333333</v>
      </c>
      <c r="H101" s="154">
        <f>+'NEW Spring CHP by DISC'!H101/12</f>
        <v>0</v>
      </c>
      <c r="I101" s="581">
        <f>SUM(F101:H101)</f>
        <v>86.866666666666674</v>
      </c>
      <c r="J101" s="582">
        <f>IF(E101&gt;0,(I101-E101)/E101,(IF(I101=0,"N/A",100%)))</f>
        <v>7.8642384105960389E-2</v>
      </c>
      <c r="K101" s="959">
        <f>+'NEW Spring CHP by DISC'!K101/15</f>
        <v>37.06666666666667</v>
      </c>
      <c r="L101" s="154">
        <f>+'NEW Spring CHP by DISC'!L101/15</f>
        <v>61.2</v>
      </c>
      <c r="M101" s="154">
        <f>+'NEW Spring CHP by DISC'!M101/12</f>
        <v>0</v>
      </c>
      <c r="N101" s="581">
        <f>SUM(K101:M101)</f>
        <v>98.26666666666668</v>
      </c>
      <c r="O101" s="155">
        <f>IF(I101&gt;0,(N101-I101)/I101,(IF(N101=0,"N/A",100%)))</f>
        <v>0.13123561013046819</v>
      </c>
      <c r="P101" s="959">
        <f>+'NEW Spring CHP by DISC'!P101/15</f>
        <v>41.4</v>
      </c>
      <c r="Q101" s="154">
        <f>+'NEW Spring CHP by DISC'!Q101/15</f>
        <v>64.533333333333331</v>
      </c>
      <c r="R101" s="154">
        <f>+'NEW Spring CHP by DISC'!R101/12</f>
        <v>0</v>
      </c>
      <c r="S101" s="581">
        <f>SUM(P101:R101)</f>
        <v>105.93333333333334</v>
      </c>
      <c r="T101" s="155">
        <f>IF(N101&gt;0,(S101-N101)/N101,(IF(S101=0,"N/A",100%)))</f>
        <v>7.8018995929443585E-2</v>
      </c>
      <c r="U101" s="154">
        <f>+'NEW Spring CHP by DISC'!U101/15</f>
        <v>42.866666666666667</v>
      </c>
      <c r="V101" s="154">
        <f>+'NEW Spring CHP by DISC'!V101/15</f>
        <v>73.933333333333337</v>
      </c>
      <c r="W101" s="154">
        <f>+'NEW Spring CHP by DISC'!W101/12</f>
        <v>0</v>
      </c>
      <c r="X101" s="581">
        <f>SUM(U101:W101)</f>
        <v>116.80000000000001</v>
      </c>
      <c r="Y101" s="155">
        <f>IF(S101&gt;0,(X101-S101)/S101,(IF(X101=0,"N/A",100%)))</f>
        <v>0.10258023914411586</v>
      </c>
      <c r="Z101" s="512">
        <f>+'NEW Spring CHP by DISC'!Z101/15</f>
        <v>50.2</v>
      </c>
      <c r="AA101" s="512">
        <f>+'NEW Spring CHP by DISC'!AA101/15</f>
        <v>82.8</v>
      </c>
      <c r="AB101" s="512">
        <f>+'NEW Spring CHP by DISC'!AB101/12</f>
        <v>0</v>
      </c>
      <c r="AC101" s="1111">
        <f>SUM(Z101:AB101)</f>
        <v>133</v>
      </c>
      <c r="AD101" s="1403">
        <f>IF(X101&gt;0,(AC101-X101)/X101,(IF(AC101=0,"N/A",100%)))</f>
        <v>0.13869863013698619</v>
      </c>
      <c r="AE101" s="328"/>
      <c r="AF101" s="328"/>
      <c r="AG101" s="328"/>
      <c r="AH101" s="328"/>
      <c r="AI101" s="328"/>
      <c r="AJ101" s="328"/>
      <c r="AK101" s="328"/>
      <c r="AL101" s="328"/>
    </row>
    <row r="102" spans="1:38" s="575" customFormat="1" ht="13.8" x14ac:dyDescent="0.25">
      <c r="A102" s="584" t="s">
        <v>961</v>
      </c>
      <c r="B102" s="586">
        <f t="shared" ref="B102:I102" si="76">+B101+B100</f>
        <v>32.93333333333333</v>
      </c>
      <c r="C102" s="586">
        <f t="shared" si="76"/>
        <v>57.06666666666667</v>
      </c>
      <c r="D102" s="586">
        <f t="shared" si="76"/>
        <v>0</v>
      </c>
      <c r="E102" s="587">
        <f t="shared" si="76"/>
        <v>90</v>
      </c>
      <c r="F102" s="585">
        <f t="shared" si="76"/>
        <v>32.733333333333334</v>
      </c>
      <c r="G102" s="586">
        <f t="shared" si="76"/>
        <v>65.599999999999994</v>
      </c>
      <c r="H102" s="586">
        <f t="shared" si="76"/>
        <v>0</v>
      </c>
      <c r="I102" s="586">
        <f t="shared" si="76"/>
        <v>98.333333333333343</v>
      </c>
      <c r="J102" s="588">
        <f>IF(E102&gt;0,(I102-E102)/E102,(IF(I102=0,"N/A",100%)))</f>
        <v>9.2592592592592698E-2</v>
      </c>
      <c r="K102" s="1219">
        <f>+K101+K100</f>
        <v>37.06666666666667</v>
      </c>
      <c r="L102" s="586">
        <f>+L101+L100</f>
        <v>69.866666666666674</v>
      </c>
      <c r="M102" s="586">
        <f>+M101+M100</f>
        <v>0</v>
      </c>
      <c r="N102" s="586">
        <f>+N101+N100</f>
        <v>106.93333333333335</v>
      </c>
      <c r="O102" s="613">
        <f>IF(I102&gt;0,(N102-I102)/I102,(IF(N102=0,"N/A",100%)))</f>
        <v>8.7457627118644146E-2</v>
      </c>
      <c r="P102" s="1219">
        <f>+P101+P100</f>
        <v>42.8</v>
      </c>
      <c r="Q102" s="586">
        <f>+Q101+Q100</f>
        <v>77.933333333333337</v>
      </c>
      <c r="R102" s="586">
        <f>+R101+R100</f>
        <v>0</v>
      </c>
      <c r="S102" s="586">
        <f>+S101+S100</f>
        <v>120.73333333333333</v>
      </c>
      <c r="T102" s="613">
        <f>IF(N102&gt;0,(S102-N102)/N102,(IF(S102=0,"N/A",100%)))</f>
        <v>0.12905236907730655</v>
      </c>
      <c r="U102" s="585">
        <f>+U101+U100</f>
        <v>46.866666666666667</v>
      </c>
      <c r="V102" s="586">
        <f>+V101+V100</f>
        <v>96.600000000000009</v>
      </c>
      <c r="W102" s="586">
        <f>+W101+W100</f>
        <v>0</v>
      </c>
      <c r="X102" s="586">
        <f>+X101+X100</f>
        <v>143.46666666666667</v>
      </c>
      <c r="Y102" s="613">
        <f>IF(S102&gt;0,(X102-S102)/S102,(IF(X102=0,"N/A",100%)))</f>
        <v>0.18829376035339593</v>
      </c>
      <c r="Z102" s="1406">
        <f>+Z101+Z100</f>
        <v>54.2</v>
      </c>
      <c r="AA102" s="1407">
        <f>+AA101+AA100</f>
        <v>99.266666666666666</v>
      </c>
      <c r="AB102" s="1407">
        <f>+AB101+AB100</f>
        <v>0</v>
      </c>
      <c r="AC102" s="1407">
        <f>+AC101+AC100</f>
        <v>153.46666666666667</v>
      </c>
      <c r="AD102" s="1405">
        <f>IF(X102&gt;0,(AC102-X102)/X102,(IF(AC102=0,"N/A",100%)))</f>
        <v>6.9702602230483274E-2</v>
      </c>
    </row>
    <row r="103" spans="1:38" s="596" customFormat="1" ht="16.2" thickBot="1" x14ac:dyDescent="0.35">
      <c r="A103" s="590" t="s">
        <v>429</v>
      </c>
      <c r="B103" s="592">
        <f t="shared" ref="B103:I103" si="77">+B87+B91+B98+B102</f>
        <v>369.86666666666667</v>
      </c>
      <c r="C103" s="592">
        <f t="shared" si="77"/>
        <v>111.73333333333335</v>
      </c>
      <c r="D103" s="592">
        <f t="shared" si="77"/>
        <v>0</v>
      </c>
      <c r="E103" s="593">
        <f t="shared" si="77"/>
        <v>481.6</v>
      </c>
      <c r="F103" s="591">
        <f t="shared" si="77"/>
        <v>393.80000000000007</v>
      </c>
      <c r="G103" s="592">
        <f t="shared" si="77"/>
        <v>121.66666666666666</v>
      </c>
      <c r="H103" s="592">
        <f t="shared" si="77"/>
        <v>0</v>
      </c>
      <c r="I103" s="592">
        <f t="shared" si="77"/>
        <v>515.4666666666667</v>
      </c>
      <c r="J103" s="594">
        <f>IF(E103&gt;0,(I103-E103)/E103,(IF(I103=0,"N/A",100%)))</f>
        <v>7.0321151716500566E-2</v>
      </c>
      <c r="K103" s="962">
        <f>+K87+K91+K98+K102</f>
        <v>479.2</v>
      </c>
      <c r="L103" s="592">
        <f>+L87+L91+L98+L102</f>
        <v>121.4</v>
      </c>
      <c r="M103" s="592">
        <f>+M87+M91+M98+M102</f>
        <v>0</v>
      </c>
      <c r="N103" s="592">
        <f>+N87+N91+N98+N102</f>
        <v>600.6</v>
      </c>
      <c r="O103" s="1257">
        <f>IF(I103&gt;0,(N103-I103)/I103,(IF(N103=0,"N/A",100%)))</f>
        <v>0.16515778582514223</v>
      </c>
      <c r="P103" s="962">
        <f>+P87+P91+P98+P102</f>
        <v>514.4666666666667</v>
      </c>
      <c r="Q103" s="592">
        <f>+Q87+Q91+Q98+Q102</f>
        <v>139.06666666666666</v>
      </c>
      <c r="R103" s="592">
        <f>+R87+R91+R98+R102</f>
        <v>0</v>
      </c>
      <c r="S103" s="592">
        <f>+S87+S91+S98+S102</f>
        <v>653.5333333333333</v>
      </c>
      <c r="T103" s="1257">
        <f>IF(N103&gt;0,(S103-N103)/N103,(IF(S103=0,"N/A",100%)))</f>
        <v>8.8134088134088046E-2</v>
      </c>
      <c r="U103" s="591">
        <f>+U87+U91+U98+U102</f>
        <v>525.20000000000005</v>
      </c>
      <c r="V103" s="592">
        <f>+V87+V91+V98+V102</f>
        <v>149</v>
      </c>
      <c r="W103" s="592">
        <f>+W87+W91+W98+W102</f>
        <v>0</v>
      </c>
      <c r="X103" s="592">
        <f>+X87+X91+X98+X102</f>
        <v>674.2</v>
      </c>
      <c r="Y103" s="1257">
        <f>IF(S103&gt;0,(X103-S103)/S103,(IF(X103=0,"N/A",100%)))</f>
        <v>3.1622972559420703E-2</v>
      </c>
      <c r="Z103" s="1408">
        <f>+Z87+Z91+Z98+Z102</f>
        <v>537.86666666666667</v>
      </c>
      <c r="AA103" s="1409">
        <f>+AA87+AA91+AA98+AA102</f>
        <v>157.33333333333331</v>
      </c>
      <c r="AB103" s="1409">
        <f>+AB87+AB91+AB98+AB102</f>
        <v>0</v>
      </c>
      <c r="AC103" s="1409">
        <f>+AC87+AC91+AC98+AC102</f>
        <v>695.2</v>
      </c>
      <c r="AD103" s="1410">
        <f>IF(X103&gt;0,(AC103-X103)/X103,(IF(AC103=0,"N/A",100%)))</f>
        <v>3.1148027291604864E-2</v>
      </c>
    </row>
    <row r="104" spans="1:38" ht="14.25" customHeight="1" thickTop="1" x14ac:dyDescent="0.25">
      <c r="A104" s="604"/>
      <c r="B104" s="335"/>
      <c r="C104" s="335"/>
      <c r="D104" s="335"/>
      <c r="E104" s="335"/>
      <c r="F104" s="335"/>
      <c r="G104" s="335"/>
      <c r="H104" s="335"/>
      <c r="I104" s="335"/>
      <c r="J104" s="598"/>
      <c r="K104" s="328"/>
      <c r="L104" s="328"/>
      <c r="M104" s="328"/>
      <c r="N104" s="328"/>
      <c r="O104" s="328"/>
      <c r="P104" s="328"/>
      <c r="Q104" s="328"/>
      <c r="R104" s="328"/>
      <c r="S104" s="328"/>
      <c r="T104" s="328"/>
      <c r="U104" s="328"/>
      <c r="V104" s="328"/>
      <c r="W104" s="328"/>
      <c r="X104" s="328"/>
      <c r="Y104" s="328"/>
      <c r="Z104" s="871"/>
      <c r="AA104" s="871"/>
      <c r="AB104" s="871"/>
      <c r="AC104" s="871"/>
      <c r="AD104" s="871"/>
      <c r="AE104" s="328"/>
      <c r="AF104" s="328"/>
      <c r="AG104" s="328"/>
      <c r="AH104" s="328"/>
      <c r="AI104" s="328"/>
      <c r="AJ104" s="328"/>
      <c r="AK104" s="328"/>
      <c r="AL104" s="328"/>
    </row>
    <row r="105" spans="1:38" ht="14.25" customHeight="1" thickBot="1" x14ac:dyDescent="0.3">
      <c r="A105" s="604"/>
      <c r="B105" s="335"/>
      <c r="C105" s="335"/>
      <c r="D105" s="335"/>
      <c r="E105" s="335"/>
      <c r="F105" s="335"/>
      <c r="G105" s="335"/>
      <c r="H105" s="335"/>
      <c r="I105" s="335"/>
      <c r="J105" s="598"/>
      <c r="K105" s="328"/>
      <c r="L105" s="328"/>
      <c r="M105" s="328"/>
      <c r="N105" s="328"/>
      <c r="O105" s="328"/>
      <c r="P105" s="328"/>
      <c r="Q105" s="328"/>
      <c r="R105" s="328"/>
      <c r="S105" s="328"/>
      <c r="T105" s="328"/>
      <c r="U105" s="328"/>
      <c r="V105" s="328"/>
      <c r="W105" s="328"/>
      <c r="X105" s="328"/>
      <c r="Y105" s="328"/>
      <c r="Z105" s="871"/>
      <c r="AA105" s="871"/>
      <c r="AB105" s="871"/>
      <c r="AC105" s="871"/>
      <c r="AD105" s="871"/>
      <c r="AE105" s="328"/>
      <c r="AF105" s="328"/>
      <c r="AG105" s="328"/>
      <c r="AH105" s="328"/>
      <c r="AI105" s="328"/>
      <c r="AJ105" s="328"/>
      <c r="AK105" s="328"/>
      <c r="AL105" s="328"/>
    </row>
    <row r="106" spans="1:38" ht="13.8" thickTop="1" x14ac:dyDescent="0.25">
      <c r="A106" s="621" t="s">
        <v>930</v>
      </c>
      <c r="B106" s="622"/>
      <c r="C106" s="623"/>
      <c r="D106" s="623"/>
      <c r="E106" s="625"/>
      <c r="F106" s="622"/>
      <c r="G106" s="623"/>
      <c r="H106" s="623"/>
      <c r="I106" s="623"/>
      <c r="J106" s="625"/>
      <c r="K106" s="622"/>
      <c r="L106" s="623"/>
      <c r="M106" s="623"/>
      <c r="N106" s="1216"/>
      <c r="O106" s="623"/>
      <c r="P106" s="622"/>
      <c r="Q106" s="623"/>
      <c r="R106" s="623"/>
      <c r="S106" s="1216"/>
      <c r="T106" s="623"/>
      <c r="U106" s="623"/>
      <c r="V106" s="623"/>
      <c r="W106" s="623"/>
      <c r="X106" s="623"/>
      <c r="Y106" s="624"/>
      <c r="Z106" s="623"/>
      <c r="AA106" s="623"/>
      <c r="AB106" s="623"/>
      <c r="AC106" s="623"/>
      <c r="AD106" s="624"/>
      <c r="AE106" s="328"/>
      <c r="AF106" s="328"/>
      <c r="AG106" s="328"/>
      <c r="AH106" s="328"/>
      <c r="AI106" s="328"/>
      <c r="AJ106" s="328"/>
      <c r="AK106" s="328"/>
      <c r="AL106" s="328"/>
    </row>
    <row r="107" spans="1:38" x14ac:dyDescent="0.25">
      <c r="A107" s="566" t="s">
        <v>1522</v>
      </c>
      <c r="B107" s="154">
        <f>+'NEW Spring CHP by DISC'!B107/15</f>
        <v>0</v>
      </c>
      <c r="C107" s="154">
        <f>+'NEW Spring CHP by DISC'!C107/15</f>
        <v>0</v>
      </c>
      <c r="D107" s="154">
        <f>+'NEW Spring CHP by DISC'!D107/12</f>
        <v>0</v>
      </c>
      <c r="E107" s="745">
        <f t="shared" ref="E107" si="78">SUM(B107:D107)</f>
        <v>0</v>
      </c>
      <c r="F107" s="154">
        <f>+'NEW Spring CHP by DISC'!F107/15</f>
        <v>0</v>
      </c>
      <c r="G107" s="154">
        <f>+'NEW Spring CHP by DISC'!G107/15</f>
        <v>0</v>
      </c>
      <c r="H107" s="154">
        <f>+'NEW Spring CHP by DISC'!H107/12</f>
        <v>0</v>
      </c>
      <c r="I107" s="154">
        <f t="shared" ref="I107" si="79">SUM(F107:H107)</f>
        <v>0</v>
      </c>
      <c r="J107" s="155" t="str">
        <f t="shared" ref="J107" si="80">IF(E107&gt;0,(I107-E107)/E107,(IF(I107=0,"N/A",100%)))</f>
        <v>N/A</v>
      </c>
      <c r="K107" s="154">
        <f>+'NEW Spring CHP by DISC'!K107/15</f>
        <v>0</v>
      </c>
      <c r="L107" s="154">
        <f>+'NEW Spring CHP by DISC'!L107/15</f>
        <v>0</v>
      </c>
      <c r="M107" s="154">
        <f>+'NEW Spring CHP by DISC'!M107/12</f>
        <v>0</v>
      </c>
      <c r="N107" s="1209">
        <f t="shared" ref="N107" si="81">SUM(K107:M107)</f>
        <v>0</v>
      </c>
      <c r="O107" s="155" t="str">
        <f t="shared" ref="O107" si="82">IF(I107&gt;0,(N107-I107)/I107,(IF(N107=0,"N/A",100%)))</f>
        <v>N/A</v>
      </c>
      <c r="P107" s="154">
        <f>+'NEW Spring CHP by DISC'!P107/15</f>
        <v>0</v>
      </c>
      <c r="Q107" s="154">
        <f>+'NEW Spring CHP by DISC'!Q107/15</f>
        <v>0</v>
      </c>
      <c r="R107" s="154">
        <f>+'NEW Spring CHP by DISC'!R107/12</f>
        <v>0</v>
      </c>
      <c r="S107" s="1209">
        <f t="shared" ref="S107" si="83">SUM(P107:R107)</f>
        <v>0</v>
      </c>
      <c r="T107" s="155" t="str">
        <f t="shared" ref="T107" si="84">IF(N107&gt;0,(S107-N107)/N107,(IF(S107=0,"N/A",100%)))</f>
        <v>N/A</v>
      </c>
      <c r="U107" s="154">
        <f>+'NEW Spring CHP by DISC'!U107/15</f>
        <v>0</v>
      </c>
      <c r="V107" s="154">
        <f>+'NEW Spring CHP by DISC'!V107/15</f>
        <v>0</v>
      </c>
      <c r="W107" s="154">
        <f>+'NEW Spring CHP by DISC'!W107/12</f>
        <v>0</v>
      </c>
      <c r="X107" s="154">
        <f t="shared" ref="X107" si="85">SUM(U107:W107)</f>
        <v>0</v>
      </c>
      <c r="Y107" s="602" t="str">
        <f t="shared" ref="Y107" si="86">IF(S107&gt;0,(X107-S107)/S107,(IF(X107=0,"N/A",100%)))</f>
        <v>N/A</v>
      </c>
      <c r="Z107" s="512">
        <f>+'NEW Spring CHP by DISC'!Z107/15</f>
        <v>0.66666666666666663</v>
      </c>
      <c r="AA107" s="512">
        <f>+'NEW Spring CHP by DISC'!AA107/15</f>
        <v>0</v>
      </c>
      <c r="AB107" s="512">
        <f>+'NEW Spring CHP by DISC'!AB107/12</f>
        <v>0</v>
      </c>
      <c r="AC107" s="512">
        <f t="shared" ref="AC107" si="87">SUM(Z107:AB107)</f>
        <v>0.66666666666666663</v>
      </c>
      <c r="AD107" s="1403">
        <f t="shared" ref="AD107" si="88">IF(X107&gt;0,(AC107-X107)/X107,(IF(AC107=0,"N/A",100%)))</f>
        <v>1</v>
      </c>
      <c r="AE107" s="328"/>
      <c r="AF107" s="328"/>
      <c r="AG107" s="328"/>
      <c r="AH107" s="328"/>
      <c r="AI107" s="328"/>
      <c r="AJ107" s="328"/>
      <c r="AK107" s="328"/>
      <c r="AL107" s="328"/>
    </row>
    <row r="108" spans="1:38" x14ac:dyDescent="0.25">
      <c r="A108" s="566" t="s">
        <v>998</v>
      </c>
      <c r="B108" s="154">
        <f>+'NEW Spring CHP by DISC'!B108/15</f>
        <v>6.5333333333333332</v>
      </c>
      <c r="C108" s="154">
        <f>+'NEW Spring CHP by DISC'!C108/15</f>
        <v>0</v>
      </c>
      <c r="D108" s="154">
        <f>+'NEW Spring CHP by DISC'!D108/12</f>
        <v>0</v>
      </c>
      <c r="E108" s="745">
        <f t="shared" ref="E108:E114" si="89">SUM(B108:D108)</f>
        <v>6.5333333333333332</v>
      </c>
      <c r="F108" s="154">
        <f>+'NEW Spring CHP by DISC'!F108/15</f>
        <v>8</v>
      </c>
      <c r="G108" s="154">
        <f>+'NEW Spring CHP by DISC'!G108/15</f>
        <v>0</v>
      </c>
      <c r="H108" s="154">
        <f>+'NEW Spring CHP by DISC'!H108/12</f>
        <v>0</v>
      </c>
      <c r="I108" s="154">
        <f t="shared" ref="I108:I114" si="90">SUM(F108:H108)</f>
        <v>8</v>
      </c>
      <c r="J108" s="155">
        <f t="shared" ref="J108:J115" si="91">IF(E108&gt;0,(I108-E108)/E108,(IF(I108=0,"N/A",100%)))</f>
        <v>0.22448979591836737</v>
      </c>
      <c r="K108" s="154">
        <f>+'NEW Spring CHP by DISC'!K108/15</f>
        <v>11.066666666666666</v>
      </c>
      <c r="L108" s="154">
        <f>+'NEW Spring CHP by DISC'!L108/15</f>
        <v>0</v>
      </c>
      <c r="M108" s="154">
        <f>+'NEW Spring CHP by DISC'!M108/12</f>
        <v>0</v>
      </c>
      <c r="N108" s="1209">
        <f t="shared" ref="N108:N114" si="92">SUM(K108:M108)</f>
        <v>11.066666666666666</v>
      </c>
      <c r="O108" s="155">
        <f t="shared" ref="O108:O115" si="93">IF(I108&gt;0,(N108-I108)/I108,(IF(N108=0,"N/A",100%)))</f>
        <v>0.3833333333333333</v>
      </c>
      <c r="P108" s="154">
        <f>+'NEW Spring CHP by DISC'!P108/15</f>
        <v>14.933333333333334</v>
      </c>
      <c r="Q108" s="154">
        <f>+'NEW Spring CHP by DISC'!Q108/15</f>
        <v>0</v>
      </c>
      <c r="R108" s="154">
        <f>+'NEW Spring CHP by DISC'!R108/12</f>
        <v>0</v>
      </c>
      <c r="S108" s="1209">
        <f t="shared" ref="S108:S114" si="94">SUM(P108:R108)</f>
        <v>14.933333333333334</v>
      </c>
      <c r="T108" s="155">
        <f t="shared" ref="T108:T115" si="95">IF(N108&gt;0,(S108-N108)/N108,(IF(S108=0,"N/A",100%)))</f>
        <v>0.34939759036144585</v>
      </c>
      <c r="U108" s="154">
        <f>+'NEW Spring CHP by DISC'!U108/15</f>
        <v>14</v>
      </c>
      <c r="V108" s="154">
        <f>+'NEW Spring CHP by DISC'!V108/15</f>
        <v>0</v>
      </c>
      <c r="W108" s="154">
        <f>+'NEW Spring CHP by DISC'!W108/12</f>
        <v>0</v>
      </c>
      <c r="X108" s="154">
        <f t="shared" ref="X108:X114" si="96">SUM(U108:W108)</f>
        <v>14</v>
      </c>
      <c r="Y108" s="602">
        <f t="shared" ref="Y108:Y115" si="97">IF(S108&gt;0,(X108-S108)/S108,(IF(X108=0,"N/A",100%)))</f>
        <v>-6.2500000000000014E-2</v>
      </c>
      <c r="Z108" s="512">
        <f>+'NEW Spring CHP by DISC'!Z108/15</f>
        <v>9.8666666666666671</v>
      </c>
      <c r="AA108" s="512">
        <f>+'NEW Spring CHP by DISC'!AA108/15</f>
        <v>0</v>
      </c>
      <c r="AB108" s="512">
        <f>+'NEW Spring CHP by DISC'!AB108/12</f>
        <v>0</v>
      </c>
      <c r="AC108" s="512">
        <f t="shared" ref="AC108:AC114" si="98">SUM(Z108:AB108)</f>
        <v>9.8666666666666671</v>
      </c>
      <c r="AD108" s="1403">
        <f t="shared" ref="AD108:AD115" si="99">IF(X108&gt;0,(AC108-X108)/X108,(IF(AC108=0,"N/A",100%)))</f>
        <v>-0.29523809523809519</v>
      </c>
      <c r="AE108" s="328"/>
      <c r="AF108" s="328"/>
      <c r="AG108" s="328"/>
      <c r="AH108" s="328"/>
      <c r="AI108" s="328"/>
      <c r="AJ108" s="328"/>
      <c r="AK108" s="328"/>
      <c r="AL108" s="328"/>
    </row>
    <row r="109" spans="1:38" x14ac:dyDescent="0.25">
      <c r="A109" s="566" t="s">
        <v>999</v>
      </c>
      <c r="B109" s="154">
        <f>+'NEW Spring CHP by DISC'!B109/15</f>
        <v>2.2000000000000002</v>
      </c>
      <c r="C109" s="154">
        <f>+'NEW Spring CHP by DISC'!C109/15</f>
        <v>0</v>
      </c>
      <c r="D109" s="154">
        <f>+'NEW Spring CHP by DISC'!D109/12</f>
        <v>0</v>
      </c>
      <c r="E109" s="745">
        <f t="shared" si="89"/>
        <v>2.2000000000000002</v>
      </c>
      <c r="F109" s="154">
        <f>+'NEW Spring CHP by DISC'!F109/15</f>
        <v>2.2000000000000002</v>
      </c>
      <c r="G109" s="154">
        <f>+'NEW Spring CHP by DISC'!G109/15</f>
        <v>0</v>
      </c>
      <c r="H109" s="154">
        <f>+'NEW Spring CHP by DISC'!H109/12</f>
        <v>0</v>
      </c>
      <c r="I109" s="154">
        <f t="shared" si="90"/>
        <v>2.2000000000000002</v>
      </c>
      <c r="J109" s="155">
        <f t="shared" si="91"/>
        <v>0</v>
      </c>
      <c r="K109" s="154">
        <f>+'NEW Spring CHP by DISC'!K109/15</f>
        <v>3</v>
      </c>
      <c r="L109" s="154">
        <f>+'NEW Spring CHP by DISC'!L109/15</f>
        <v>0</v>
      </c>
      <c r="M109" s="154">
        <f>+'NEW Spring CHP by DISC'!M109/12</f>
        <v>0</v>
      </c>
      <c r="N109" s="1209">
        <f t="shared" si="92"/>
        <v>3</v>
      </c>
      <c r="O109" s="155">
        <f t="shared" si="93"/>
        <v>0.36363636363636354</v>
      </c>
      <c r="P109" s="154">
        <f>+'NEW Spring CHP by DISC'!P109/15</f>
        <v>3.8</v>
      </c>
      <c r="Q109" s="154">
        <f>+'NEW Spring CHP by DISC'!Q109/15</f>
        <v>0</v>
      </c>
      <c r="R109" s="154">
        <f>+'NEW Spring CHP by DISC'!R109/12</f>
        <v>0</v>
      </c>
      <c r="S109" s="1209">
        <f t="shared" si="94"/>
        <v>3.8</v>
      </c>
      <c r="T109" s="155">
        <f t="shared" si="95"/>
        <v>0.26666666666666661</v>
      </c>
      <c r="U109" s="154">
        <f>+'NEW Spring CHP by DISC'!U109/15</f>
        <v>7.4</v>
      </c>
      <c r="V109" s="154">
        <f>+'NEW Spring CHP by DISC'!V109/15</f>
        <v>0</v>
      </c>
      <c r="W109" s="154">
        <f>+'NEW Spring CHP by DISC'!W109/12</f>
        <v>0</v>
      </c>
      <c r="X109" s="154">
        <f t="shared" si="96"/>
        <v>7.4</v>
      </c>
      <c r="Y109" s="602">
        <f t="shared" si="97"/>
        <v>0.94736842105263175</v>
      </c>
      <c r="Z109" s="512">
        <f>+'NEW Spring CHP by DISC'!Z109/15</f>
        <v>5.6</v>
      </c>
      <c r="AA109" s="512">
        <f>+'NEW Spring CHP by DISC'!AA109/15</f>
        <v>0</v>
      </c>
      <c r="AB109" s="512">
        <f>+'NEW Spring CHP by DISC'!AB109/12</f>
        <v>0</v>
      </c>
      <c r="AC109" s="512">
        <f t="shared" si="98"/>
        <v>5.6</v>
      </c>
      <c r="AD109" s="1403">
        <f t="shared" si="99"/>
        <v>-0.24324324324324334</v>
      </c>
      <c r="AE109" s="328"/>
      <c r="AF109" s="328"/>
      <c r="AG109" s="328"/>
      <c r="AH109" s="328"/>
      <c r="AI109" s="328"/>
      <c r="AJ109" s="328"/>
      <c r="AK109" s="328"/>
      <c r="AL109" s="328"/>
    </row>
    <row r="110" spans="1:38" x14ac:dyDescent="0.25">
      <c r="A110" s="566" t="s">
        <v>1000</v>
      </c>
      <c r="B110" s="154">
        <f>+'NEW Spring CHP by DISC'!B110/15</f>
        <v>0</v>
      </c>
      <c r="C110" s="154">
        <f>+'NEW Spring CHP by DISC'!C110/15</f>
        <v>0</v>
      </c>
      <c r="D110" s="154">
        <f>+'NEW Spring CHP by DISC'!D110/12</f>
        <v>0</v>
      </c>
      <c r="E110" s="745">
        <f t="shared" si="89"/>
        <v>0</v>
      </c>
      <c r="F110" s="154">
        <f>+'NEW Spring CHP by DISC'!F110/15</f>
        <v>0</v>
      </c>
      <c r="G110" s="154">
        <f>+'NEW Spring CHP by DISC'!G110/15</f>
        <v>0</v>
      </c>
      <c r="H110" s="154">
        <f>+'NEW Spring CHP by DISC'!H110/12</f>
        <v>0</v>
      </c>
      <c r="I110" s="154">
        <f t="shared" si="90"/>
        <v>0</v>
      </c>
      <c r="J110" s="155" t="str">
        <f t="shared" si="91"/>
        <v>N/A</v>
      </c>
      <c r="K110" s="154">
        <f>+'NEW Spring CHP by DISC'!K110/15</f>
        <v>0</v>
      </c>
      <c r="L110" s="154">
        <f>+'NEW Spring CHP by DISC'!L110/15</f>
        <v>0</v>
      </c>
      <c r="M110" s="154">
        <f>+'NEW Spring CHP by DISC'!M110/12</f>
        <v>0</v>
      </c>
      <c r="N110" s="1209">
        <f t="shared" si="92"/>
        <v>0</v>
      </c>
      <c r="O110" s="155" t="str">
        <f t="shared" si="93"/>
        <v>N/A</v>
      </c>
      <c r="P110" s="154">
        <f>+'NEW Spring CHP by DISC'!P110/15</f>
        <v>0</v>
      </c>
      <c r="Q110" s="154">
        <f>+'NEW Spring CHP by DISC'!Q110/15</f>
        <v>0</v>
      </c>
      <c r="R110" s="154">
        <f>+'NEW Spring CHP by DISC'!R110/12</f>
        <v>0</v>
      </c>
      <c r="S110" s="1209">
        <f t="shared" si="94"/>
        <v>0</v>
      </c>
      <c r="T110" s="155" t="str">
        <f t="shared" si="95"/>
        <v>N/A</v>
      </c>
      <c r="U110" s="154">
        <f>+'NEW Spring CHP by DISC'!U110/15</f>
        <v>0</v>
      </c>
      <c r="V110" s="154">
        <f>+'NEW Spring CHP by DISC'!V110/15</f>
        <v>0</v>
      </c>
      <c r="W110" s="154">
        <f>+'NEW Spring CHP by DISC'!W110/12</f>
        <v>0</v>
      </c>
      <c r="X110" s="154">
        <f t="shared" si="96"/>
        <v>0</v>
      </c>
      <c r="Y110" s="602" t="str">
        <f t="shared" si="97"/>
        <v>N/A</v>
      </c>
      <c r="Z110" s="512">
        <f>+'NEW Spring CHP by DISC'!Z110/15</f>
        <v>0</v>
      </c>
      <c r="AA110" s="512">
        <f>+'NEW Spring CHP by DISC'!AA110/15</f>
        <v>0</v>
      </c>
      <c r="AB110" s="512">
        <f>+'NEW Spring CHP by DISC'!AB110/12</f>
        <v>0</v>
      </c>
      <c r="AC110" s="512">
        <f t="shared" si="98"/>
        <v>0</v>
      </c>
      <c r="AD110" s="1403" t="str">
        <f t="shared" si="99"/>
        <v>N/A</v>
      </c>
      <c r="AE110" s="328"/>
      <c r="AF110" s="328"/>
      <c r="AG110" s="328"/>
      <c r="AH110" s="328"/>
      <c r="AI110" s="328"/>
      <c r="AJ110" s="328"/>
      <c r="AK110" s="328"/>
      <c r="AL110" s="328"/>
    </row>
    <row r="111" spans="1:38" x14ac:dyDescent="0.25">
      <c r="A111" s="566" t="s">
        <v>1001</v>
      </c>
      <c r="B111" s="154">
        <f>+'NEW Spring CHP by DISC'!B111/15</f>
        <v>0</v>
      </c>
      <c r="C111" s="154">
        <f>+'NEW Spring CHP by DISC'!C111/15</f>
        <v>2.4</v>
      </c>
      <c r="D111" s="154">
        <f>+'NEW Spring CHP by DISC'!D111/12</f>
        <v>0</v>
      </c>
      <c r="E111" s="745">
        <f t="shared" si="89"/>
        <v>2.4</v>
      </c>
      <c r="F111" s="154">
        <f>+'NEW Spring CHP by DISC'!F111/15</f>
        <v>0</v>
      </c>
      <c r="G111" s="154">
        <f>+'NEW Spring CHP by DISC'!G111/15</f>
        <v>1.6</v>
      </c>
      <c r="H111" s="154">
        <f>+'NEW Spring CHP by DISC'!H111/12</f>
        <v>0</v>
      </c>
      <c r="I111" s="154">
        <f t="shared" si="90"/>
        <v>1.6</v>
      </c>
      <c r="J111" s="155">
        <f t="shared" si="91"/>
        <v>-0.33333333333333326</v>
      </c>
      <c r="K111" s="154">
        <f>+'NEW Spring CHP by DISC'!K111/15</f>
        <v>0</v>
      </c>
      <c r="L111" s="154">
        <f>+'NEW Spring CHP by DISC'!L111/15</f>
        <v>4.5999999999999996</v>
      </c>
      <c r="M111" s="154">
        <f>+'NEW Spring CHP by DISC'!M111/12</f>
        <v>0</v>
      </c>
      <c r="N111" s="1209">
        <f t="shared" si="92"/>
        <v>4.5999999999999996</v>
      </c>
      <c r="O111" s="155">
        <f t="shared" si="93"/>
        <v>1.8749999999999996</v>
      </c>
      <c r="P111" s="154">
        <f>+'NEW Spring CHP by DISC'!P111/15</f>
        <v>0</v>
      </c>
      <c r="Q111" s="154">
        <f>+'NEW Spring CHP by DISC'!Q111/15</f>
        <v>1.6</v>
      </c>
      <c r="R111" s="154">
        <f>+'NEW Spring CHP by DISC'!R111/12</f>
        <v>0</v>
      </c>
      <c r="S111" s="1209">
        <f t="shared" si="94"/>
        <v>1.6</v>
      </c>
      <c r="T111" s="155">
        <f t="shared" si="95"/>
        <v>-0.65217391304347816</v>
      </c>
      <c r="U111" s="154">
        <f>+'NEW Spring CHP by DISC'!U111/15</f>
        <v>0</v>
      </c>
      <c r="V111" s="154">
        <f>+'NEW Spring CHP by DISC'!V111/15</f>
        <v>0</v>
      </c>
      <c r="W111" s="154">
        <f>+'NEW Spring CHP by DISC'!W111/12</f>
        <v>0</v>
      </c>
      <c r="X111" s="154">
        <f t="shared" si="96"/>
        <v>0</v>
      </c>
      <c r="Y111" s="602">
        <f t="shared" si="97"/>
        <v>-1</v>
      </c>
      <c r="Z111" s="512">
        <f>+'NEW Spring CHP by DISC'!Z111/15</f>
        <v>0</v>
      </c>
      <c r="AA111" s="512">
        <f>+'NEW Spring CHP by DISC'!AA111/15</f>
        <v>6.4</v>
      </c>
      <c r="AB111" s="512">
        <f>+'NEW Spring CHP by DISC'!AB111/12</f>
        <v>0</v>
      </c>
      <c r="AC111" s="512">
        <f t="shared" si="98"/>
        <v>6.4</v>
      </c>
      <c r="AD111" s="1403">
        <f t="shared" si="99"/>
        <v>1</v>
      </c>
      <c r="AE111" s="328"/>
      <c r="AF111" s="328"/>
      <c r="AG111" s="328"/>
      <c r="AH111" s="328"/>
      <c r="AI111" s="328"/>
      <c r="AJ111" s="328"/>
      <c r="AK111" s="328"/>
      <c r="AL111" s="328"/>
    </row>
    <row r="112" spans="1:38" x14ac:dyDescent="0.25">
      <c r="A112" s="566" t="s">
        <v>1002</v>
      </c>
      <c r="B112" s="154">
        <f>+'NEW Spring CHP by DISC'!B112/15</f>
        <v>0</v>
      </c>
      <c r="C112" s="154">
        <f>+'NEW Spring CHP by DISC'!C112/15</f>
        <v>0</v>
      </c>
      <c r="D112" s="154">
        <f>+'NEW Spring CHP by DISC'!D112/12</f>
        <v>0</v>
      </c>
      <c r="E112" s="745">
        <f t="shared" si="89"/>
        <v>0</v>
      </c>
      <c r="F112" s="154">
        <f>+'NEW Spring CHP by DISC'!F112/15</f>
        <v>0</v>
      </c>
      <c r="G112" s="154">
        <f>+'NEW Spring CHP by DISC'!G112/15</f>
        <v>0</v>
      </c>
      <c r="H112" s="154">
        <f>+'NEW Spring CHP by DISC'!H112/12</f>
        <v>0</v>
      </c>
      <c r="I112" s="154">
        <f t="shared" si="90"/>
        <v>0</v>
      </c>
      <c r="J112" s="155" t="str">
        <f t="shared" si="91"/>
        <v>N/A</v>
      </c>
      <c r="K112" s="154">
        <f>+'NEW Spring CHP by DISC'!K112/15</f>
        <v>0</v>
      </c>
      <c r="L112" s="154">
        <f>+'NEW Spring CHP by DISC'!L112/15</f>
        <v>0</v>
      </c>
      <c r="M112" s="154">
        <f>+'NEW Spring CHP by DISC'!M112/12</f>
        <v>0</v>
      </c>
      <c r="N112" s="1209">
        <f t="shared" si="92"/>
        <v>0</v>
      </c>
      <c r="O112" s="155" t="str">
        <f t="shared" si="93"/>
        <v>N/A</v>
      </c>
      <c r="P112" s="154">
        <f>+'NEW Spring CHP by DISC'!P112/15</f>
        <v>0</v>
      </c>
      <c r="Q112" s="154">
        <f>+'NEW Spring CHP by DISC'!Q112/15</f>
        <v>0</v>
      </c>
      <c r="R112" s="154">
        <f>+'NEW Spring CHP by DISC'!R112/12</f>
        <v>0</v>
      </c>
      <c r="S112" s="1209">
        <f t="shared" si="94"/>
        <v>0</v>
      </c>
      <c r="T112" s="155" t="str">
        <f t="shared" si="95"/>
        <v>N/A</v>
      </c>
      <c r="U112" s="154">
        <f>+'NEW Spring CHP by DISC'!U112/15</f>
        <v>0.93333333333333335</v>
      </c>
      <c r="V112" s="154">
        <f>+'NEW Spring CHP by DISC'!V112/15</f>
        <v>0</v>
      </c>
      <c r="W112" s="154">
        <f>+'NEW Spring CHP by DISC'!W112/12</f>
        <v>0</v>
      </c>
      <c r="X112" s="154">
        <f t="shared" si="96"/>
        <v>0.93333333333333335</v>
      </c>
      <c r="Y112" s="602">
        <f t="shared" si="97"/>
        <v>1</v>
      </c>
      <c r="Z112" s="512">
        <f>+'NEW Spring CHP by DISC'!Z112/15</f>
        <v>0.8666666666666667</v>
      </c>
      <c r="AA112" s="512">
        <f>+'NEW Spring CHP by DISC'!AA112/15</f>
        <v>0</v>
      </c>
      <c r="AB112" s="512">
        <f>+'NEW Spring CHP by DISC'!AB112/12</f>
        <v>0</v>
      </c>
      <c r="AC112" s="512">
        <f t="shared" si="98"/>
        <v>0.8666666666666667</v>
      </c>
      <c r="AD112" s="1403">
        <f t="shared" si="99"/>
        <v>-7.1428571428571411E-2</v>
      </c>
      <c r="AE112" s="328"/>
      <c r="AF112" s="328"/>
      <c r="AG112" s="328"/>
      <c r="AH112" s="328"/>
      <c r="AI112" s="328"/>
      <c r="AJ112" s="328"/>
      <c r="AK112" s="328"/>
      <c r="AL112" s="328"/>
    </row>
    <row r="113" spans="1:39" x14ac:dyDescent="0.25">
      <c r="A113" s="566" t="s">
        <v>1143</v>
      </c>
      <c r="B113" s="154">
        <f>+'NEW Spring CHP by DISC'!B113/15</f>
        <v>0</v>
      </c>
      <c r="C113" s="154">
        <f>+'NEW Spring CHP by DISC'!C113/15</f>
        <v>0</v>
      </c>
      <c r="D113" s="154">
        <f>+'NEW Spring CHP by DISC'!D113/12</f>
        <v>0</v>
      </c>
      <c r="E113" s="745">
        <f t="shared" si="89"/>
        <v>0</v>
      </c>
      <c r="F113" s="154">
        <f>+'NEW Spring CHP by DISC'!F113/15</f>
        <v>0</v>
      </c>
      <c r="G113" s="154">
        <f>+'NEW Spring CHP by DISC'!G113/15</f>
        <v>0</v>
      </c>
      <c r="H113" s="154">
        <f>+'NEW Spring CHP by DISC'!H113/12</f>
        <v>0</v>
      </c>
      <c r="I113" s="154">
        <f t="shared" si="90"/>
        <v>0</v>
      </c>
      <c r="J113" s="155" t="str">
        <f t="shared" si="91"/>
        <v>N/A</v>
      </c>
      <c r="K113" s="154">
        <f>+'NEW Spring CHP by DISC'!K113/15</f>
        <v>0</v>
      </c>
      <c r="L113" s="154">
        <f>+'NEW Spring CHP by DISC'!L113/15</f>
        <v>0</v>
      </c>
      <c r="M113" s="154">
        <f>+'NEW Spring CHP by DISC'!M113/12</f>
        <v>0</v>
      </c>
      <c r="N113" s="1209">
        <f t="shared" si="92"/>
        <v>0</v>
      </c>
      <c r="O113" s="155" t="str">
        <f t="shared" si="93"/>
        <v>N/A</v>
      </c>
      <c r="P113" s="154">
        <f>+'NEW Spring CHP by DISC'!P113/15</f>
        <v>0</v>
      </c>
      <c r="Q113" s="154">
        <f>+'NEW Spring CHP by DISC'!Q113/15</f>
        <v>0</v>
      </c>
      <c r="R113" s="154">
        <f>+'NEW Spring CHP by DISC'!R113/12</f>
        <v>0</v>
      </c>
      <c r="S113" s="1209">
        <f t="shared" si="94"/>
        <v>0</v>
      </c>
      <c r="T113" s="155" t="str">
        <f t="shared" si="95"/>
        <v>N/A</v>
      </c>
      <c r="U113" s="154">
        <f>+'NEW Spring CHP by DISC'!U113/15</f>
        <v>0</v>
      </c>
      <c r="V113" s="154">
        <f>+'NEW Spring CHP by DISC'!V113/15</f>
        <v>0</v>
      </c>
      <c r="W113" s="154">
        <f>+'NEW Spring CHP by DISC'!W113/12</f>
        <v>0</v>
      </c>
      <c r="X113" s="154">
        <f t="shared" si="96"/>
        <v>0</v>
      </c>
      <c r="Y113" s="602" t="str">
        <f t="shared" si="97"/>
        <v>N/A</v>
      </c>
      <c r="Z113" s="512">
        <f>+'NEW Spring CHP by DISC'!Z113/15</f>
        <v>0</v>
      </c>
      <c r="AA113" s="512">
        <f>+'NEW Spring CHP by DISC'!AA113/15</f>
        <v>0</v>
      </c>
      <c r="AB113" s="512">
        <f>+'NEW Spring CHP by DISC'!AB113/12</f>
        <v>0</v>
      </c>
      <c r="AC113" s="512">
        <f t="shared" si="98"/>
        <v>0</v>
      </c>
      <c r="AD113" s="1403" t="str">
        <f t="shared" si="99"/>
        <v>N/A</v>
      </c>
      <c r="AE113" s="328"/>
      <c r="AF113" s="328"/>
      <c r="AG113" s="328"/>
      <c r="AH113" s="328"/>
      <c r="AI113" s="328"/>
      <c r="AJ113" s="328"/>
      <c r="AK113" s="328"/>
      <c r="AL113" s="328"/>
    </row>
    <row r="114" spans="1:39" x14ac:dyDescent="0.25">
      <c r="A114" s="579" t="s">
        <v>1003</v>
      </c>
      <c r="B114" s="154">
        <f>+'NEW Spring CHP by DISC'!B114/15</f>
        <v>3.3333333333333335</v>
      </c>
      <c r="C114" s="154">
        <f>+'NEW Spring CHP by DISC'!C114/15</f>
        <v>3.2</v>
      </c>
      <c r="D114" s="154">
        <f>+'NEW Spring CHP by DISC'!D114/12</f>
        <v>0</v>
      </c>
      <c r="E114" s="749">
        <f t="shared" si="89"/>
        <v>6.5333333333333332</v>
      </c>
      <c r="F114" s="154">
        <f>+'NEW Spring CHP by DISC'!F114/15</f>
        <v>1.8666666666666667</v>
      </c>
      <c r="G114" s="154">
        <f>+'NEW Spring CHP by DISC'!G114/15</f>
        <v>2.4</v>
      </c>
      <c r="H114" s="154">
        <f>+'NEW Spring CHP by DISC'!H114/12</f>
        <v>0</v>
      </c>
      <c r="I114" s="580">
        <f t="shared" si="90"/>
        <v>4.2666666666666666</v>
      </c>
      <c r="J114" s="616">
        <f t="shared" si="91"/>
        <v>-0.34693877551020408</v>
      </c>
      <c r="K114" s="154">
        <f>+'NEW Spring CHP by DISC'!K114/15</f>
        <v>5.2666666666666666</v>
      </c>
      <c r="L114" s="154">
        <f>+'NEW Spring CHP by DISC'!L114/15</f>
        <v>2</v>
      </c>
      <c r="M114" s="154">
        <f>+'NEW Spring CHP by DISC'!M114/12</f>
        <v>0</v>
      </c>
      <c r="N114" s="581">
        <f t="shared" si="92"/>
        <v>7.2666666666666666</v>
      </c>
      <c r="O114" s="155">
        <f t="shared" si="93"/>
        <v>0.703125</v>
      </c>
      <c r="P114" s="154">
        <f>+'NEW Spring CHP by DISC'!P114/15</f>
        <v>3.2</v>
      </c>
      <c r="Q114" s="154">
        <f>+'NEW Spring CHP by DISC'!Q114/15</f>
        <v>3.4</v>
      </c>
      <c r="R114" s="154">
        <f>+'NEW Spring CHP by DISC'!R114/12</f>
        <v>0</v>
      </c>
      <c r="S114" s="581">
        <f t="shared" si="94"/>
        <v>6.6</v>
      </c>
      <c r="T114" s="155">
        <f t="shared" si="95"/>
        <v>-9.1743119266055093E-2</v>
      </c>
      <c r="U114" s="154">
        <f>+'NEW Spring CHP by DISC'!U114/15</f>
        <v>3.1333333333333333</v>
      </c>
      <c r="V114" s="154">
        <f>+'NEW Spring CHP by DISC'!V114/15</f>
        <v>2.4666666666666668</v>
      </c>
      <c r="W114" s="154">
        <f>+'NEW Spring CHP by DISC'!W114/12</f>
        <v>0</v>
      </c>
      <c r="X114" s="580">
        <f t="shared" si="96"/>
        <v>5.6</v>
      </c>
      <c r="Y114" s="602">
        <f t="shared" si="97"/>
        <v>-0.15151515151515152</v>
      </c>
      <c r="Z114" s="512">
        <f>+'NEW Spring CHP by DISC'!Z114/15</f>
        <v>4.2</v>
      </c>
      <c r="AA114" s="512">
        <f>+'NEW Spring CHP by DISC'!AA114/15</f>
        <v>2.1333333333333333</v>
      </c>
      <c r="AB114" s="512">
        <f>+'NEW Spring CHP by DISC'!AB114/12</f>
        <v>0</v>
      </c>
      <c r="AC114" s="1140">
        <f t="shared" si="98"/>
        <v>6.3333333333333339</v>
      </c>
      <c r="AD114" s="1403">
        <f t="shared" si="99"/>
        <v>0.13095238095238113</v>
      </c>
      <c r="AE114" s="328"/>
      <c r="AF114" s="328"/>
      <c r="AG114" s="328"/>
      <c r="AH114" s="328"/>
      <c r="AI114" s="328"/>
      <c r="AJ114" s="328"/>
      <c r="AK114" s="328"/>
      <c r="AL114" s="328"/>
    </row>
    <row r="115" spans="1:39" s="575" customFormat="1" ht="14.4" thickBot="1" x14ac:dyDescent="0.3">
      <c r="A115" s="628" t="s">
        <v>961</v>
      </c>
      <c r="B115" s="629">
        <f t="shared" ref="B115:I115" si="100">SUM(B107:B114)</f>
        <v>12.066666666666668</v>
      </c>
      <c r="C115" s="629">
        <f t="shared" si="100"/>
        <v>5.6</v>
      </c>
      <c r="D115" s="629">
        <f t="shared" si="100"/>
        <v>0</v>
      </c>
      <c r="E115" s="629">
        <f t="shared" si="100"/>
        <v>17.666666666666668</v>
      </c>
      <c r="F115" s="629">
        <f t="shared" si="100"/>
        <v>12.066666666666666</v>
      </c>
      <c r="G115" s="629">
        <f t="shared" si="100"/>
        <v>4</v>
      </c>
      <c r="H115" s="629">
        <f t="shared" si="100"/>
        <v>0</v>
      </c>
      <c r="I115" s="629">
        <f t="shared" si="100"/>
        <v>16.066666666666666</v>
      </c>
      <c r="J115" s="631">
        <f t="shared" si="91"/>
        <v>-9.0566037735849134E-2</v>
      </c>
      <c r="K115" s="629">
        <f>SUM(K107:K114)</f>
        <v>19.333333333333332</v>
      </c>
      <c r="L115" s="629">
        <f>SUM(L107:L114)</f>
        <v>6.6</v>
      </c>
      <c r="M115" s="629">
        <f>SUM(M107:M114)</f>
        <v>0</v>
      </c>
      <c r="N115" s="629">
        <f>SUM(N107:N114)</f>
        <v>25.93333333333333</v>
      </c>
      <c r="O115" s="631">
        <f t="shared" si="93"/>
        <v>0.6141078838174272</v>
      </c>
      <c r="P115" s="629">
        <f>SUM(P107:P114)</f>
        <v>21.933333333333334</v>
      </c>
      <c r="Q115" s="629">
        <f>SUM(Q107:Q114)</f>
        <v>5</v>
      </c>
      <c r="R115" s="629">
        <f>SUM(R107:R114)</f>
        <v>0</v>
      </c>
      <c r="S115" s="629">
        <f>SUM(S107:S114)</f>
        <v>26.933333333333337</v>
      </c>
      <c r="T115" s="631">
        <f t="shared" si="95"/>
        <v>3.8560411311054262E-2</v>
      </c>
      <c r="U115" s="629">
        <f>SUM(U107:U114)</f>
        <v>25.466666666666665</v>
      </c>
      <c r="V115" s="629">
        <f>SUM(V107:V114)</f>
        <v>2.4666666666666668</v>
      </c>
      <c r="W115" s="629">
        <f>SUM(W107:W114)</f>
        <v>0</v>
      </c>
      <c r="X115" s="629">
        <f>SUM(X107:X114)</f>
        <v>27.93333333333333</v>
      </c>
      <c r="Y115" s="732">
        <f t="shared" si="97"/>
        <v>3.7128712871286856E-2</v>
      </c>
      <c r="Z115" s="629">
        <f>SUM(Z107:Z114)</f>
        <v>21.2</v>
      </c>
      <c r="AA115" s="629">
        <f>SUM(AA107:AA114)</f>
        <v>8.5333333333333332</v>
      </c>
      <c r="AB115" s="629">
        <f>SUM(AB107:AB114)</f>
        <v>0</v>
      </c>
      <c r="AC115" s="629">
        <f>SUM(AC107:AC114)</f>
        <v>29.733333333333334</v>
      </c>
      <c r="AD115" s="1412">
        <f t="shared" si="99"/>
        <v>6.4439140811456005E-2</v>
      </c>
    </row>
    <row r="116" spans="1:39" s="575" customFormat="1" ht="14.25" customHeight="1" thickTop="1" x14ac:dyDescent="0.25">
      <c r="A116" s="633"/>
      <c r="B116" s="634"/>
      <c r="C116" s="634"/>
      <c r="D116" s="634"/>
      <c r="E116" s="634"/>
      <c r="F116" s="634"/>
      <c r="G116" s="634"/>
      <c r="H116" s="634"/>
      <c r="I116" s="634"/>
      <c r="J116" s="635"/>
      <c r="Z116" s="1413"/>
      <c r="AA116" s="1413"/>
      <c r="AB116" s="1413"/>
      <c r="AC116" s="1413"/>
      <c r="AD116" s="1413"/>
    </row>
    <row r="117" spans="1:39" ht="14.25" customHeight="1" thickBot="1" x14ac:dyDescent="0.3">
      <c r="A117" s="604"/>
      <c r="B117" s="335"/>
      <c r="C117" s="335"/>
      <c r="D117" s="335"/>
      <c r="E117" s="335"/>
      <c r="F117" s="335"/>
      <c r="G117" s="335"/>
      <c r="H117" s="335"/>
      <c r="I117" s="335"/>
      <c r="J117" s="598"/>
      <c r="K117" s="328"/>
      <c r="L117" s="328"/>
      <c r="M117" s="328"/>
      <c r="N117" s="328"/>
      <c r="O117" s="328"/>
      <c r="P117" s="328"/>
      <c r="Q117" s="328"/>
      <c r="R117" s="328"/>
      <c r="S117" s="328"/>
      <c r="T117" s="328"/>
      <c r="U117" s="328"/>
      <c r="V117" s="328"/>
      <c r="W117" s="328"/>
      <c r="X117" s="328"/>
      <c r="Y117" s="328"/>
      <c r="Z117" s="871"/>
      <c r="AA117" s="871"/>
      <c r="AB117" s="871"/>
      <c r="AC117" s="871"/>
      <c r="AD117" s="871"/>
      <c r="AE117" s="328"/>
      <c r="AF117" s="328"/>
      <c r="AG117" s="328"/>
      <c r="AH117" s="328"/>
      <c r="AI117" s="328"/>
      <c r="AJ117" s="328"/>
      <c r="AK117" s="328"/>
      <c r="AL117" s="328"/>
    </row>
    <row r="118" spans="1:39" s="639" customFormat="1" ht="18" thickTop="1" thickBot="1" x14ac:dyDescent="0.35">
      <c r="A118" s="636" t="s">
        <v>949</v>
      </c>
      <c r="B118" s="637">
        <f t="shared" ref="B118:I118" si="101">+B115+B103+B80+B43+B23</f>
        <v>1332.5333333333333</v>
      </c>
      <c r="C118" s="637">
        <f t="shared" si="101"/>
        <v>688.76666666666665</v>
      </c>
      <c r="D118" s="637">
        <f t="shared" si="101"/>
        <v>30.25</v>
      </c>
      <c r="E118" s="644">
        <f t="shared" si="101"/>
        <v>2051.5500000000002</v>
      </c>
      <c r="F118" s="637">
        <f t="shared" si="101"/>
        <v>1465.2000000000003</v>
      </c>
      <c r="G118" s="637">
        <f t="shared" si="101"/>
        <v>729.4666666666667</v>
      </c>
      <c r="H118" s="637">
        <f t="shared" si="101"/>
        <v>38.75</v>
      </c>
      <c r="I118" s="637">
        <f t="shared" si="101"/>
        <v>2233.4166666666665</v>
      </c>
      <c r="J118" s="855">
        <f>IF(E118&gt;0,(I118-E118)/E118,(IF(I118=0,"N/A",100%)))</f>
        <v>8.8648420300098132E-2</v>
      </c>
      <c r="K118" s="637">
        <f>+K115+K103+K80+K43+K23</f>
        <v>1709.9</v>
      </c>
      <c r="L118" s="637">
        <f>+L115+L103+L80+L43+L23</f>
        <v>746.4</v>
      </c>
      <c r="M118" s="637">
        <f>+M115+M103+M80+M43+M23</f>
        <v>27</v>
      </c>
      <c r="N118" s="1262">
        <f>+N115+N103+N80+N43+N23</f>
        <v>2483.2999999999997</v>
      </c>
      <c r="O118" s="1267">
        <f>IF(I118&gt;0,(N118-I118)/I118,(IF(N118=0,"N/A",100%)))</f>
        <v>0.11188388492966676</v>
      </c>
      <c r="P118" s="637">
        <f>+P115+P103+P80+P43+P23</f>
        <v>1840.6000000000001</v>
      </c>
      <c r="Q118" s="637">
        <f>+Q115+Q103+Q80+Q43+Q23</f>
        <v>741.13333333333333</v>
      </c>
      <c r="R118" s="637">
        <f>+R115+R103+R80+R43+R23</f>
        <v>34.5</v>
      </c>
      <c r="S118" s="1262">
        <f>+S115+S103+S80+S43+S23</f>
        <v>2616.2333333333336</v>
      </c>
      <c r="T118" s="1267">
        <f>IF(N118&gt;0,(S118-N118)/N118,(IF(S118=0,"N/A",100%)))</f>
        <v>5.3530919878119386E-2</v>
      </c>
      <c r="U118" s="637">
        <f>+U115+U103+U80+U43+U23</f>
        <v>1851.6666666666665</v>
      </c>
      <c r="V118" s="637">
        <f>+V115+V103+V80+V43+V23</f>
        <v>771.06666666666672</v>
      </c>
      <c r="W118" s="637">
        <f>+W115+W103+W80+W43+W23</f>
        <v>30.25</v>
      </c>
      <c r="X118" s="637">
        <f>+X115+X103+X80+X43+X23</f>
        <v>2652.9833333333331</v>
      </c>
      <c r="Y118" s="855">
        <f>IF(S118&gt;0,(X118-S118)/S118,(IF(X118=0,"N/A",100%)))</f>
        <v>1.4046912227502468E-2</v>
      </c>
      <c r="Z118" s="637">
        <f>+Z115+Z103+Z80+Z43+Z23</f>
        <v>1754.0999999999997</v>
      </c>
      <c r="AA118" s="637">
        <f>+AA115+AA103+AA80+AA43+AA23</f>
        <v>799.4666666666667</v>
      </c>
      <c r="AB118" s="637">
        <f>+AB115+AB103+AB80+AB43+AB23</f>
        <v>37.25</v>
      </c>
      <c r="AC118" s="637">
        <f>+AC115+AC103+AC80+AC43+AC23</f>
        <v>2590.8166666666666</v>
      </c>
      <c r="AD118" s="855">
        <f>IF(X118&gt;0,(AC118-X118)/X118,(IF(AC118=0,"N/A",100%)))</f>
        <v>-2.343273924324183E-2</v>
      </c>
    </row>
    <row r="119" spans="1:39" ht="13.8" thickTop="1" x14ac:dyDescent="0.25">
      <c r="A119" s="1725" t="s">
        <v>1012</v>
      </c>
      <c r="B119" s="1725"/>
      <c r="C119" s="1725"/>
      <c r="D119" s="1725"/>
      <c r="E119" s="1725"/>
      <c r="F119" s="1725"/>
      <c r="G119" s="1725"/>
      <c r="H119" s="1725"/>
      <c r="I119" s="1725"/>
      <c r="J119" s="1725"/>
      <c r="K119" s="328"/>
      <c r="L119" s="328"/>
      <c r="M119" s="328"/>
      <c r="N119" s="328"/>
      <c r="O119" s="328"/>
      <c r="P119" s="328"/>
      <c r="Q119" s="328"/>
      <c r="R119" s="328"/>
      <c r="S119" s="328"/>
      <c r="T119" s="328"/>
      <c r="U119" s="328"/>
      <c r="V119" s="328"/>
      <c r="W119" s="328"/>
      <c r="X119" s="328"/>
      <c r="Y119" s="328"/>
      <c r="Z119" s="871"/>
      <c r="AA119" s="871"/>
      <c r="AB119" s="871"/>
      <c r="AC119" s="871"/>
      <c r="AD119" s="871"/>
      <c r="AE119" s="328"/>
      <c r="AF119" s="328"/>
      <c r="AG119" s="328"/>
      <c r="AH119" s="328"/>
      <c r="AI119" s="328"/>
      <c r="AJ119" s="328"/>
      <c r="AK119" s="328"/>
      <c r="AL119" s="328"/>
      <c r="AM119" s="328"/>
    </row>
    <row r="120" spans="1:39" x14ac:dyDescent="0.25">
      <c r="A120" s="1722"/>
      <c r="B120" s="1722"/>
      <c r="C120" s="1722"/>
      <c r="D120" s="1722"/>
      <c r="E120" s="1722"/>
      <c r="F120" s="1722"/>
      <c r="G120" s="1722"/>
      <c r="H120" s="1722"/>
      <c r="I120" s="1722"/>
      <c r="J120" s="1722"/>
      <c r="K120" s="856"/>
      <c r="L120" s="778"/>
      <c r="M120" s="328"/>
      <c r="N120" s="328"/>
      <c r="O120" s="328"/>
      <c r="P120" s="856"/>
      <c r="Q120" s="778"/>
      <c r="R120" s="328"/>
      <c r="S120" s="328"/>
      <c r="T120" s="328"/>
      <c r="U120" s="856"/>
      <c r="V120" s="778"/>
      <c r="W120" s="328"/>
      <c r="X120" s="328"/>
      <c r="Y120" s="328"/>
      <c r="Z120" s="1414"/>
      <c r="AA120" s="1415"/>
      <c r="AB120" s="871"/>
      <c r="AC120" s="871"/>
      <c r="AD120" s="871"/>
      <c r="AE120" s="328"/>
      <c r="AF120" s="328"/>
      <c r="AG120" s="328"/>
      <c r="AH120" s="328"/>
      <c r="AI120" s="328"/>
      <c r="AJ120" s="328"/>
      <c r="AK120" s="328"/>
      <c r="AL120" s="328"/>
      <c r="AM120" s="328"/>
    </row>
    <row r="121" spans="1:39" x14ac:dyDescent="0.25">
      <c r="A121" s="146"/>
      <c r="B121" s="335"/>
      <c r="C121" s="146"/>
      <c r="D121" s="146"/>
      <c r="E121" s="146"/>
      <c r="F121" s="335"/>
      <c r="G121" s="335"/>
      <c r="H121" s="146"/>
      <c r="I121" s="335"/>
      <c r="J121" s="146"/>
      <c r="K121" s="328"/>
      <c r="L121" s="328"/>
      <c r="M121" s="328"/>
      <c r="N121" s="328"/>
      <c r="O121" s="328"/>
      <c r="P121" s="328"/>
      <c r="Q121" s="328"/>
      <c r="R121" s="328"/>
      <c r="S121" s="328"/>
      <c r="T121" s="328"/>
      <c r="U121" s="328"/>
      <c r="V121" s="328"/>
      <c r="W121" s="328"/>
      <c r="X121" s="328"/>
      <c r="Y121" s="328"/>
      <c r="Z121" s="871"/>
      <c r="AA121" s="871"/>
      <c r="AB121" s="871"/>
      <c r="AC121" s="871"/>
      <c r="AD121" s="871"/>
      <c r="AE121" s="328"/>
      <c r="AF121" s="328"/>
      <c r="AG121" s="328"/>
      <c r="AH121" s="146"/>
      <c r="AI121" s="146"/>
      <c r="AJ121" s="146"/>
      <c r="AK121" s="146"/>
      <c r="AL121" s="146"/>
      <c r="AM121" s="146"/>
    </row>
    <row r="122" spans="1:39" x14ac:dyDescent="0.25">
      <c r="A122" s="146"/>
      <c r="B122" s="146"/>
      <c r="C122" s="146"/>
      <c r="D122" s="146"/>
      <c r="E122" s="335"/>
      <c r="F122" s="335"/>
      <c r="G122" s="335"/>
      <c r="H122" s="146"/>
      <c r="I122" s="335"/>
      <c r="J122" s="146"/>
      <c r="K122" s="328"/>
      <c r="L122" s="328"/>
      <c r="M122" s="328"/>
      <c r="N122" s="328"/>
      <c r="O122" s="328"/>
      <c r="P122" s="328"/>
      <c r="Q122" s="328"/>
      <c r="R122" s="328"/>
      <c r="S122" s="328"/>
      <c r="T122" s="328"/>
      <c r="U122" s="328"/>
      <c r="V122" s="328"/>
      <c r="W122" s="328"/>
      <c r="X122" s="328"/>
      <c r="Y122" s="328"/>
      <c r="Z122" s="871"/>
      <c r="AA122" s="871"/>
      <c r="AB122" s="871"/>
      <c r="AC122" s="871"/>
      <c r="AD122" s="871"/>
      <c r="AE122" s="328"/>
      <c r="AF122" s="328"/>
      <c r="AG122" s="328"/>
      <c r="AH122" s="146"/>
      <c r="AI122" s="146"/>
      <c r="AJ122" s="146"/>
      <c r="AK122" s="146"/>
      <c r="AL122" s="146"/>
      <c r="AM122" s="146"/>
    </row>
    <row r="123" spans="1:39" x14ac:dyDescent="0.25">
      <c r="A123" s="146"/>
      <c r="B123" s="146"/>
      <c r="C123" s="146"/>
      <c r="D123" s="146"/>
      <c r="E123" s="146"/>
      <c r="F123" s="146"/>
      <c r="G123" s="146"/>
      <c r="H123" s="146"/>
      <c r="I123" s="146"/>
      <c r="J123" s="146"/>
      <c r="K123" s="328"/>
      <c r="L123" s="328"/>
      <c r="M123" s="328"/>
      <c r="N123" s="328"/>
      <c r="O123" s="328"/>
      <c r="P123" s="328"/>
      <c r="Q123" s="328"/>
      <c r="R123" s="328"/>
      <c r="S123" s="328"/>
      <c r="T123" s="328"/>
      <c r="U123" s="328"/>
      <c r="V123" s="328"/>
      <c r="W123" s="328"/>
      <c r="X123" s="328"/>
      <c r="Y123" s="328"/>
      <c r="Z123" s="871"/>
      <c r="AA123" s="871"/>
      <c r="AB123" s="871"/>
      <c r="AC123" s="871"/>
      <c r="AD123" s="871"/>
      <c r="AE123" s="328"/>
      <c r="AF123" s="328"/>
      <c r="AG123" s="328"/>
      <c r="AH123" s="146"/>
      <c r="AI123" s="146"/>
      <c r="AJ123" s="146"/>
      <c r="AK123" s="146"/>
      <c r="AL123" s="146"/>
      <c r="AM123" s="146"/>
    </row>
    <row r="124" spans="1:39" x14ac:dyDescent="0.25">
      <c r="A124" s="146"/>
      <c r="B124" s="146"/>
      <c r="C124" s="146"/>
      <c r="D124" s="146"/>
      <c r="E124" s="146"/>
      <c r="F124" s="146"/>
      <c r="G124" s="146"/>
      <c r="H124" s="146"/>
      <c r="I124" s="146"/>
      <c r="J124" s="146"/>
      <c r="K124" s="328"/>
      <c r="L124" s="328"/>
      <c r="M124" s="328"/>
      <c r="N124" s="328"/>
      <c r="O124" s="328"/>
      <c r="P124" s="328"/>
      <c r="Q124" s="328"/>
      <c r="R124" s="328"/>
      <c r="S124" s="328"/>
      <c r="T124" s="328"/>
      <c r="U124" s="328"/>
      <c r="V124" s="328"/>
      <c r="W124" s="328"/>
      <c r="X124" s="328"/>
      <c r="Y124" s="328"/>
      <c r="Z124" s="871"/>
      <c r="AA124" s="871"/>
      <c r="AB124" s="871"/>
      <c r="AC124" s="871"/>
      <c r="AD124" s="871"/>
      <c r="AE124" s="328"/>
      <c r="AF124" s="328"/>
      <c r="AG124" s="328"/>
      <c r="AH124" s="146"/>
      <c r="AI124" s="146"/>
      <c r="AJ124" s="146"/>
      <c r="AK124" s="146"/>
      <c r="AL124" s="146"/>
      <c r="AM124" s="146"/>
    </row>
    <row r="125" spans="1:39" x14ac:dyDescent="0.25">
      <c r="A125" s="146"/>
      <c r="B125" s="146"/>
      <c r="C125" s="146"/>
      <c r="D125" s="146"/>
      <c r="E125" s="146"/>
      <c r="F125" s="146"/>
      <c r="G125" s="146"/>
      <c r="H125" s="146"/>
      <c r="I125" s="146"/>
      <c r="J125" s="146"/>
      <c r="K125" s="328"/>
      <c r="L125" s="328"/>
      <c r="M125" s="328"/>
      <c r="N125" s="328"/>
      <c r="O125" s="328"/>
      <c r="P125" s="328"/>
      <c r="Q125" s="328"/>
      <c r="R125" s="328"/>
      <c r="S125" s="328"/>
      <c r="T125" s="328"/>
      <c r="U125" s="328"/>
      <c r="V125" s="328"/>
      <c r="W125" s="328"/>
      <c r="X125" s="328"/>
      <c r="Y125" s="328"/>
      <c r="Z125" s="871"/>
      <c r="AA125" s="871"/>
      <c r="AB125" s="871"/>
      <c r="AC125" s="871"/>
      <c r="AD125" s="871"/>
      <c r="AE125" s="328"/>
      <c r="AF125" s="328"/>
      <c r="AG125" s="328"/>
      <c r="AH125" s="146"/>
      <c r="AI125" s="146"/>
      <c r="AJ125" s="146"/>
      <c r="AK125" s="146"/>
      <c r="AL125" s="146"/>
      <c r="AM125" s="146"/>
    </row>
    <row r="126" spans="1:39" x14ac:dyDescent="0.25">
      <c r="A126" s="146"/>
      <c r="B126" s="146"/>
      <c r="C126" s="146"/>
      <c r="D126" s="146"/>
      <c r="E126" s="146"/>
      <c r="F126" s="146"/>
      <c r="G126" s="146"/>
      <c r="H126" s="146"/>
      <c r="I126" s="146"/>
      <c r="J126" s="146"/>
      <c r="K126" s="328"/>
      <c r="L126" s="328"/>
      <c r="M126" s="328"/>
      <c r="N126" s="328"/>
      <c r="O126" s="328"/>
      <c r="P126" s="328"/>
      <c r="Q126" s="328"/>
      <c r="R126" s="328"/>
      <c r="S126" s="328"/>
      <c r="T126" s="328"/>
      <c r="U126" s="328"/>
      <c r="V126" s="328"/>
      <c r="W126" s="328"/>
      <c r="X126" s="328"/>
      <c r="Y126" s="328"/>
      <c r="Z126" s="871"/>
      <c r="AA126" s="871"/>
      <c r="AB126" s="871"/>
      <c r="AC126" s="871"/>
      <c r="AD126" s="871"/>
      <c r="AE126" s="328"/>
      <c r="AF126" s="328"/>
      <c r="AG126" s="328"/>
      <c r="AH126" s="146"/>
      <c r="AI126" s="146"/>
      <c r="AJ126" s="146"/>
      <c r="AK126" s="146"/>
      <c r="AL126" s="146"/>
      <c r="AM126" s="146"/>
    </row>
    <row r="127" spans="1:39" x14ac:dyDescent="0.25">
      <c r="A127" s="146"/>
      <c r="B127" s="146"/>
      <c r="C127" s="146"/>
      <c r="D127" s="146"/>
      <c r="E127" s="146"/>
      <c r="F127" s="146"/>
      <c r="G127" s="146"/>
      <c r="H127" s="146"/>
      <c r="I127" s="335"/>
      <c r="J127" s="146"/>
      <c r="K127" s="146"/>
      <c r="L127" s="146"/>
      <c r="M127" s="146"/>
      <c r="N127" s="328"/>
      <c r="O127" s="328"/>
      <c r="P127" s="146"/>
      <c r="Q127" s="146"/>
      <c r="R127" s="146"/>
      <c r="S127" s="328"/>
      <c r="T127" s="328"/>
      <c r="U127" s="146"/>
      <c r="V127" s="146"/>
      <c r="W127" s="146"/>
      <c r="X127" s="328"/>
      <c r="Y127" s="328"/>
      <c r="Z127" s="698"/>
      <c r="AA127" s="698"/>
      <c r="AB127" s="698"/>
      <c r="AC127" s="871"/>
      <c r="AD127" s="871"/>
      <c r="AE127" s="328"/>
      <c r="AF127" s="328"/>
      <c r="AG127" s="328"/>
      <c r="AH127" s="146"/>
      <c r="AI127" s="146"/>
      <c r="AJ127" s="146"/>
      <c r="AK127" s="146"/>
      <c r="AL127" s="146"/>
      <c r="AM127" s="146"/>
    </row>
    <row r="128" spans="1:39" x14ac:dyDescent="0.25">
      <c r="A128" s="146"/>
      <c r="B128" s="146"/>
      <c r="C128" s="146"/>
      <c r="D128" s="146"/>
      <c r="E128" s="146"/>
      <c r="F128" s="146"/>
      <c r="G128" s="146"/>
      <c r="H128" s="146"/>
      <c r="I128" s="335"/>
      <c r="J128" s="146"/>
      <c r="K128" s="146"/>
      <c r="L128" s="146"/>
      <c r="M128" s="146"/>
      <c r="N128" s="328"/>
      <c r="O128" s="328"/>
      <c r="P128" s="146"/>
      <c r="Q128" s="146"/>
      <c r="R128" s="146"/>
      <c r="S128" s="328"/>
      <c r="T128" s="328"/>
      <c r="U128" s="146"/>
      <c r="V128" s="146"/>
      <c r="W128" s="146"/>
      <c r="X128" s="328"/>
      <c r="Y128" s="328"/>
      <c r="Z128" s="698"/>
      <c r="AA128" s="698"/>
      <c r="AB128" s="698"/>
      <c r="AC128" s="871"/>
      <c r="AD128" s="871"/>
      <c r="AE128" s="328"/>
      <c r="AF128" s="328"/>
      <c r="AG128" s="328"/>
      <c r="AH128" s="146"/>
      <c r="AI128" s="146"/>
      <c r="AJ128" s="146"/>
      <c r="AK128" s="146"/>
      <c r="AL128" s="146"/>
      <c r="AM128" s="146"/>
    </row>
    <row r="129" spans="1:39" x14ac:dyDescent="0.25">
      <c r="A129" s="146"/>
      <c r="B129" s="146"/>
      <c r="C129" s="146"/>
      <c r="D129" s="146"/>
      <c r="E129" s="146"/>
      <c r="F129" s="146"/>
      <c r="G129" s="146"/>
      <c r="H129" s="146"/>
      <c r="I129" s="146"/>
      <c r="J129" s="146"/>
      <c r="K129" s="146"/>
      <c r="L129" s="146"/>
      <c r="M129" s="146"/>
      <c r="N129" s="328"/>
      <c r="O129" s="328"/>
      <c r="P129" s="146"/>
      <c r="Q129" s="146"/>
      <c r="R129" s="146"/>
      <c r="S129" s="328"/>
      <c r="T129" s="328"/>
      <c r="U129" s="146"/>
      <c r="V129" s="146"/>
      <c r="W129" s="146"/>
      <c r="X129" s="328"/>
      <c r="Y129" s="328"/>
      <c r="Z129" s="698"/>
      <c r="AA129" s="698"/>
      <c r="AB129" s="698"/>
      <c r="AC129" s="871"/>
      <c r="AD129" s="871"/>
      <c r="AE129" s="328"/>
      <c r="AF129" s="328"/>
      <c r="AG129" s="328"/>
      <c r="AH129" s="146"/>
      <c r="AI129" s="146"/>
      <c r="AJ129" s="146"/>
      <c r="AK129" s="146"/>
      <c r="AL129" s="146"/>
      <c r="AM129" s="146"/>
    </row>
    <row r="130" spans="1:39" x14ac:dyDescent="0.25">
      <c r="A130" s="146"/>
      <c r="B130" s="146"/>
      <c r="C130" s="146"/>
      <c r="D130" s="146"/>
      <c r="E130" s="146"/>
      <c r="F130" s="146"/>
      <c r="G130" s="146"/>
      <c r="H130" s="146"/>
      <c r="I130" s="146"/>
      <c r="J130" s="146"/>
      <c r="K130" s="146"/>
      <c r="L130" s="146"/>
      <c r="M130" s="146"/>
      <c r="N130" s="328"/>
      <c r="O130" s="328"/>
      <c r="P130" s="146"/>
      <c r="Q130" s="146"/>
      <c r="R130" s="146"/>
      <c r="S130" s="328"/>
      <c r="T130" s="328"/>
      <c r="U130" s="146"/>
      <c r="V130" s="146"/>
      <c r="W130" s="146"/>
      <c r="X130" s="328"/>
      <c r="Y130" s="328"/>
      <c r="Z130" s="698"/>
      <c r="AA130" s="698"/>
      <c r="AB130" s="698"/>
      <c r="AC130" s="871"/>
      <c r="AD130" s="871"/>
      <c r="AE130" s="328"/>
      <c r="AF130" s="328"/>
      <c r="AG130" s="328"/>
      <c r="AH130" s="146"/>
      <c r="AI130" s="146"/>
      <c r="AJ130" s="146"/>
      <c r="AK130" s="146"/>
      <c r="AL130" s="146"/>
      <c r="AM130" s="146"/>
    </row>
    <row r="131" spans="1:39" x14ac:dyDescent="0.25">
      <c r="A131" s="146"/>
      <c r="B131" s="146"/>
      <c r="C131" s="146"/>
      <c r="D131" s="146"/>
      <c r="E131" s="146"/>
      <c r="F131" s="146"/>
      <c r="G131" s="146"/>
      <c r="H131" s="146"/>
      <c r="I131" s="146"/>
      <c r="J131" s="146"/>
      <c r="K131" s="146"/>
      <c r="L131" s="146"/>
      <c r="M131" s="146"/>
      <c r="N131" s="328"/>
      <c r="O131" s="328"/>
      <c r="P131" s="146"/>
      <c r="Q131" s="146"/>
      <c r="R131" s="146"/>
      <c r="S131" s="328"/>
      <c r="T131" s="328"/>
      <c r="U131" s="146"/>
      <c r="V131" s="146"/>
      <c r="W131" s="146"/>
      <c r="X131" s="328"/>
      <c r="Y131" s="328"/>
      <c r="Z131" s="698"/>
      <c r="AA131" s="698"/>
      <c r="AB131" s="698"/>
      <c r="AC131" s="871"/>
      <c r="AD131" s="871"/>
      <c r="AE131" s="328"/>
      <c r="AF131" s="328"/>
      <c r="AG131" s="328"/>
      <c r="AH131" s="146"/>
      <c r="AI131" s="146"/>
      <c r="AJ131" s="146"/>
      <c r="AK131" s="146"/>
      <c r="AL131" s="146"/>
      <c r="AM131" s="146"/>
    </row>
    <row r="132" spans="1:39" x14ac:dyDescent="0.25">
      <c r="A132" s="146"/>
      <c r="B132" s="146"/>
      <c r="C132" s="146"/>
      <c r="D132" s="146"/>
      <c r="E132" s="146"/>
      <c r="F132" s="146"/>
      <c r="G132" s="146"/>
      <c r="H132" s="146"/>
      <c r="I132" s="146"/>
      <c r="J132" s="146"/>
      <c r="K132" s="146"/>
      <c r="L132" s="146"/>
      <c r="M132" s="146"/>
      <c r="N132" s="328"/>
      <c r="O132" s="328"/>
      <c r="P132" s="146"/>
      <c r="Q132" s="146"/>
      <c r="R132" s="146"/>
      <c r="S132" s="328"/>
      <c r="T132" s="328"/>
      <c r="U132" s="146"/>
      <c r="V132" s="146"/>
      <c r="W132" s="146"/>
      <c r="X132" s="328"/>
      <c r="Y132" s="328"/>
      <c r="Z132" s="698"/>
      <c r="AA132" s="698"/>
      <c r="AB132" s="698"/>
      <c r="AC132" s="871"/>
      <c r="AD132" s="871"/>
      <c r="AE132" s="328"/>
      <c r="AF132" s="328"/>
      <c r="AG132" s="328"/>
      <c r="AH132" s="146"/>
      <c r="AI132" s="146"/>
      <c r="AJ132" s="146"/>
      <c r="AK132" s="146"/>
      <c r="AL132" s="146"/>
      <c r="AM132" s="146"/>
    </row>
    <row r="133" spans="1:39" x14ac:dyDescent="0.25">
      <c r="A133" s="146"/>
      <c r="B133" s="146"/>
      <c r="C133" s="146"/>
      <c r="D133" s="146"/>
      <c r="E133" s="146"/>
      <c r="F133" s="146"/>
      <c r="G133" s="146"/>
      <c r="H133" s="146"/>
      <c r="I133" s="146"/>
      <c r="J133" s="146"/>
      <c r="K133" s="146"/>
      <c r="L133" s="146"/>
      <c r="M133" s="146"/>
      <c r="N133" s="328"/>
      <c r="O133" s="328"/>
      <c r="P133" s="146"/>
      <c r="Q133" s="146"/>
      <c r="R133" s="146"/>
      <c r="S133" s="328"/>
      <c r="T133" s="328"/>
      <c r="U133" s="146"/>
      <c r="V133" s="146"/>
      <c r="W133" s="146"/>
      <c r="X133" s="328"/>
      <c r="Y133" s="328"/>
      <c r="Z133" s="698"/>
      <c r="AA133" s="698"/>
      <c r="AB133" s="698"/>
      <c r="AC133" s="871"/>
      <c r="AD133" s="871"/>
      <c r="AE133" s="328"/>
      <c r="AF133" s="328"/>
      <c r="AG133" s="328"/>
      <c r="AH133" s="146"/>
      <c r="AI133" s="146"/>
      <c r="AJ133" s="146"/>
      <c r="AK133" s="146"/>
      <c r="AL133" s="146"/>
      <c r="AM133" s="146"/>
    </row>
    <row r="134" spans="1:39" x14ac:dyDescent="0.25">
      <c r="A134" s="146"/>
      <c r="B134" s="146"/>
      <c r="C134" s="146"/>
      <c r="D134" s="146"/>
      <c r="E134" s="146"/>
      <c r="F134" s="146"/>
      <c r="G134" s="146"/>
      <c r="H134" s="146"/>
      <c r="I134" s="146"/>
      <c r="J134" s="146"/>
      <c r="K134" s="146"/>
      <c r="L134" s="146"/>
      <c r="M134" s="146"/>
      <c r="N134" s="328"/>
      <c r="O134" s="328"/>
      <c r="P134" s="146"/>
      <c r="Q134" s="146"/>
      <c r="R134" s="146"/>
      <c r="S134" s="328"/>
      <c r="T134" s="328"/>
      <c r="U134" s="146"/>
      <c r="V134" s="146"/>
      <c r="W134" s="146"/>
      <c r="X134" s="328"/>
      <c r="Y134" s="328"/>
      <c r="Z134" s="698"/>
      <c r="AA134" s="698"/>
      <c r="AB134" s="698"/>
      <c r="AC134" s="871"/>
      <c r="AD134" s="871"/>
      <c r="AE134" s="328"/>
      <c r="AF134" s="328"/>
      <c r="AG134" s="328"/>
      <c r="AH134" s="146"/>
      <c r="AI134" s="146"/>
      <c r="AJ134" s="146"/>
      <c r="AK134" s="146"/>
      <c r="AL134" s="146"/>
      <c r="AM134" s="146"/>
    </row>
    <row r="135" spans="1:39" x14ac:dyDescent="0.25">
      <c r="A135" s="146"/>
      <c r="B135" s="146"/>
      <c r="C135" s="146"/>
      <c r="D135" s="146"/>
      <c r="E135" s="146"/>
      <c r="F135" s="146"/>
      <c r="G135" s="146"/>
      <c r="H135" s="146"/>
      <c r="I135" s="146"/>
      <c r="J135" s="146"/>
      <c r="K135" s="146"/>
      <c r="L135" s="146"/>
      <c r="M135" s="146"/>
      <c r="N135" s="328"/>
      <c r="O135" s="328"/>
      <c r="P135" s="146"/>
      <c r="Q135" s="146"/>
      <c r="R135" s="146"/>
      <c r="S135" s="328"/>
      <c r="T135" s="328"/>
      <c r="U135" s="146"/>
      <c r="V135" s="146"/>
      <c r="W135" s="146"/>
      <c r="X135" s="328"/>
      <c r="Y135" s="328"/>
      <c r="Z135" s="698"/>
      <c r="AA135" s="698"/>
      <c r="AB135" s="698"/>
      <c r="AC135" s="871"/>
      <c r="AD135" s="871"/>
      <c r="AE135" s="328"/>
      <c r="AF135" s="328"/>
      <c r="AG135" s="328"/>
      <c r="AH135" s="146"/>
      <c r="AI135" s="146"/>
      <c r="AJ135" s="146"/>
      <c r="AK135" s="146"/>
      <c r="AL135" s="146"/>
      <c r="AM135" s="146"/>
    </row>
    <row r="136" spans="1:39" x14ac:dyDescent="0.25">
      <c r="A136" s="146"/>
      <c r="B136" s="146"/>
      <c r="C136" s="146"/>
      <c r="D136" s="146"/>
      <c r="E136" s="146"/>
      <c r="F136" s="146"/>
      <c r="G136" s="146"/>
      <c r="H136" s="146"/>
      <c r="I136" s="146"/>
      <c r="J136" s="146"/>
      <c r="K136" s="146"/>
      <c r="L136" s="146"/>
      <c r="M136" s="146"/>
      <c r="N136" s="328"/>
      <c r="O136" s="328"/>
      <c r="P136" s="146"/>
      <c r="Q136" s="146"/>
      <c r="R136" s="146"/>
      <c r="S136" s="328"/>
      <c r="T136" s="328"/>
      <c r="U136" s="146"/>
      <c r="V136" s="146"/>
      <c r="W136" s="146"/>
      <c r="X136" s="328"/>
      <c r="Y136" s="328"/>
      <c r="Z136" s="698"/>
      <c r="AA136" s="698"/>
      <c r="AB136" s="698"/>
      <c r="AC136" s="871"/>
      <c r="AD136" s="871"/>
      <c r="AE136" s="328"/>
      <c r="AF136" s="328"/>
      <c r="AG136" s="328"/>
      <c r="AH136" s="146"/>
      <c r="AI136" s="146"/>
      <c r="AJ136" s="146"/>
      <c r="AK136" s="146"/>
      <c r="AL136" s="146"/>
      <c r="AM136" s="146"/>
    </row>
    <row r="137" spans="1:39" x14ac:dyDescent="0.25">
      <c r="A137" s="146"/>
      <c r="B137" s="146"/>
      <c r="C137" s="146"/>
      <c r="D137" s="146"/>
      <c r="E137" s="146"/>
      <c r="F137" s="146"/>
      <c r="G137" s="146"/>
      <c r="H137" s="146"/>
      <c r="I137" s="146"/>
      <c r="J137" s="146"/>
      <c r="K137" s="146"/>
      <c r="L137" s="146"/>
      <c r="M137" s="146"/>
      <c r="N137" s="328"/>
      <c r="O137" s="328"/>
      <c r="P137" s="146"/>
      <c r="Q137" s="146"/>
      <c r="R137" s="146"/>
      <c r="S137" s="328"/>
      <c r="T137" s="328"/>
      <c r="U137" s="146"/>
      <c r="V137" s="146"/>
      <c r="W137" s="146"/>
      <c r="X137" s="328"/>
      <c r="Y137" s="328"/>
      <c r="Z137" s="698"/>
      <c r="AA137" s="698"/>
      <c r="AB137" s="698"/>
      <c r="AC137" s="871"/>
      <c r="AD137" s="871"/>
      <c r="AE137" s="328"/>
      <c r="AF137" s="328"/>
      <c r="AG137" s="328"/>
      <c r="AH137" s="146"/>
      <c r="AI137" s="146"/>
      <c r="AJ137" s="146"/>
      <c r="AK137" s="146"/>
      <c r="AL137" s="146"/>
      <c r="AM137" s="146"/>
    </row>
  </sheetData>
  <mergeCells count="35">
    <mergeCell ref="A120:J120"/>
    <mergeCell ref="A84:A85"/>
    <mergeCell ref="F85:J85"/>
    <mergeCell ref="K28:O28"/>
    <mergeCell ref="P48:T48"/>
    <mergeCell ref="K85:O85"/>
    <mergeCell ref="A119:J119"/>
    <mergeCell ref="B85:E85"/>
    <mergeCell ref="A27:A28"/>
    <mergeCell ref="B48:E48"/>
    <mergeCell ref="K48:O48"/>
    <mergeCell ref="B28:E28"/>
    <mergeCell ref="P28:T28"/>
    <mergeCell ref="F28:J28"/>
    <mergeCell ref="U85:Y85"/>
    <mergeCell ref="P85:T85"/>
    <mergeCell ref="A47:A48"/>
    <mergeCell ref="Z5:AD5"/>
    <mergeCell ref="Z28:AD28"/>
    <mergeCell ref="Z48:AD48"/>
    <mergeCell ref="Z85:AD85"/>
    <mergeCell ref="U48:Y48"/>
    <mergeCell ref="U28:Y28"/>
    <mergeCell ref="A1:AD1"/>
    <mergeCell ref="A3:AD3"/>
    <mergeCell ref="A26:AD26"/>
    <mergeCell ref="A46:AD46"/>
    <mergeCell ref="A83:AD83"/>
    <mergeCell ref="U5:Y5"/>
    <mergeCell ref="F5:J5"/>
    <mergeCell ref="B5:E5"/>
    <mergeCell ref="P5:T5"/>
    <mergeCell ref="K5:O5"/>
    <mergeCell ref="A4:A5"/>
    <mergeCell ref="F48:J48"/>
  </mergeCells>
  <phoneticPr fontId="15" type="noConversion"/>
  <printOptions horizontalCentered="1" verticalCentered="1"/>
  <pageMargins left="0.25" right="0.49" top="0.2" bottom="0.38" header="0.17" footer="0.25"/>
  <pageSetup scale="37" orientation="landscape" r:id="rId1"/>
  <headerFooter alignWithMargins="0">
    <oddFooter>&amp;RSource: Office of Institutional Research</oddFooter>
  </headerFooter>
  <rowBreaks count="2" manualBreakCount="2">
    <brk id="45" max="29" man="1"/>
    <brk id="119" max="17" man="1"/>
  </rowBreaks>
  <webPublishItems count="1">
    <webPublishItem id="12584" divId="2004_2005 FACT BOOK WORKING COPY_12584" sourceType="sheet" destinationFile="C:\Documents and Settings\mkirkpatrick\My Documents\2005-2006 Fact Book\2005-2006 WEB PAGES\05_06springFTEbycollege.htm"/>
  </webPublishItem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B1:R38"/>
  <sheetViews>
    <sheetView workbookViewId="0"/>
  </sheetViews>
  <sheetFormatPr defaultColWidth="6.6640625" defaultRowHeight="13.2" x14ac:dyDescent="0.25"/>
  <cols>
    <col min="1" max="1" width="9.109375" style="157" customWidth="1"/>
    <col min="2" max="2" width="6.33203125" style="157" customWidth="1"/>
    <col min="3" max="8" width="7.88671875" style="157" customWidth="1"/>
    <col min="9" max="16384" width="6.6640625" style="157"/>
  </cols>
  <sheetData>
    <row r="1" spans="2:18" ht="22.5" customHeight="1" x14ac:dyDescent="0.3">
      <c r="B1" s="1729" t="s">
        <v>1018</v>
      </c>
      <c r="C1" s="1729"/>
      <c r="D1" s="1729"/>
      <c r="E1" s="1729"/>
      <c r="F1" s="1729"/>
      <c r="G1" s="1729"/>
      <c r="H1" s="1729"/>
      <c r="I1" s="1729"/>
      <c r="J1" s="1729"/>
      <c r="K1" s="1729"/>
      <c r="L1" s="1729"/>
      <c r="M1" s="1729"/>
      <c r="N1" s="1729"/>
      <c r="O1" s="1729"/>
      <c r="P1" s="1729"/>
      <c r="Q1" s="1729"/>
    </row>
    <row r="2" spans="2:18" x14ac:dyDescent="0.25">
      <c r="B2" s="158"/>
      <c r="C2" s="158"/>
      <c r="D2" s="158"/>
      <c r="E2" s="158"/>
      <c r="F2" s="158"/>
      <c r="G2" s="158"/>
      <c r="H2" s="158"/>
      <c r="I2" s="158"/>
      <c r="J2" s="158"/>
      <c r="K2" s="158"/>
      <c r="L2" s="158"/>
      <c r="M2" s="158"/>
      <c r="N2" s="158"/>
      <c r="O2" s="158"/>
      <c r="P2" s="158"/>
      <c r="Q2" s="158"/>
      <c r="R2" s="158"/>
    </row>
    <row r="3" spans="2:18" ht="15.9" customHeight="1" x14ac:dyDescent="0.25">
      <c r="B3" s="159"/>
      <c r="C3" s="160" t="s">
        <v>1019</v>
      </c>
      <c r="D3" s="160"/>
      <c r="E3" s="161"/>
      <c r="F3" s="160" t="s">
        <v>1020</v>
      </c>
      <c r="G3" s="160"/>
      <c r="H3" s="161"/>
    </row>
    <row r="4" spans="2:18" ht="15.6" x14ac:dyDescent="0.25">
      <c r="B4" s="162"/>
      <c r="C4" s="163" t="s">
        <v>1021</v>
      </c>
      <c r="D4" s="164" t="s">
        <v>1022</v>
      </c>
      <c r="E4" s="165" t="s">
        <v>780</v>
      </c>
      <c r="F4" s="164" t="s">
        <v>1021</v>
      </c>
      <c r="G4" s="164" t="s">
        <v>1022</v>
      </c>
      <c r="H4" s="165" t="s">
        <v>780</v>
      </c>
    </row>
    <row r="5" spans="2:18" hidden="1" x14ac:dyDescent="0.25">
      <c r="B5" s="418"/>
      <c r="C5" s="419"/>
      <c r="D5" s="419"/>
      <c r="E5" s="420"/>
      <c r="F5" s="419"/>
      <c r="G5" s="419"/>
      <c r="H5" s="420"/>
    </row>
    <row r="6" spans="2:18" hidden="1" x14ac:dyDescent="0.25">
      <c r="B6" s="166">
        <v>2007</v>
      </c>
      <c r="C6" s="167">
        <v>2360</v>
      </c>
      <c r="D6" s="167">
        <v>48</v>
      </c>
      <c r="E6" s="169">
        <f>SUM(C6:D6)</f>
        <v>2408</v>
      </c>
      <c r="F6" s="168">
        <v>2154</v>
      </c>
      <c r="G6" s="168">
        <v>22</v>
      </c>
      <c r="H6" s="169">
        <f>SUM(F6:G6)</f>
        <v>2176</v>
      </c>
    </row>
    <row r="7" spans="2:18" x14ac:dyDescent="0.25">
      <c r="B7" s="418"/>
      <c r="C7" s="419"/>
      <c r="D7" s="419"/>
      <c r="E7" s="420"/>
      <c r="F7" s="419"/>
      <c r="G7" s="419"/>
      <c r="H7" s="420"/>
    </row>
    <row r="8" spans="2:18" x14ac:dyDescent="0.25">
      <c r="B8" s="166">
        <v>2008</v>
      </c>
      <c r="C8" s="167">
        <v>2540</v>
      </c>
      <c r="D8" s="167">
        <v>74</v>
      </c>
      <c r="E8" s="169">
        <f>SUM(C8:D8)</f>
        <v>2614</v>
      </c>
      <c r="F8" s="168">
        <v>2343</v>
      </c>
      <c r="G8" s="168">
        <v>34</v>
      </c>
      <c r="H8" s="169">
        <f>SUM(F8:G8)</f>
        <v>2377</v>
      </c>
    </row>
    <row r="9" spans="2:18" x14ac:dyDescent="0.25">
      <c r="B9" s="418"/>
      <c r="C9" s="419"/>
      <c r="D9" s="419"/>
      <c r="E9" s="420"/>
      <c r="F9" s="419"/>
      <c r="G9" s="419"/>
      <c r="H9" s="420"/>
    </row>
    <row r="10" spans="2:18" x14ac:dyDescent="0.25">
      <c r="B10" s="166">
        <v>2009</v>
      </c>
      <c r="C10" s="167">
        <v>2789</v>
      </c>
      <c r="D10" s="167">
        <v>49</v>
      </c>
      <c r="E10" s="169">
        <f>SUM(C10:D10)</f>
        <v>2838</v>
      </c>
      <c r="F10" s="168">
        <v>2628.4</v>
      </c>
      <c r="G10" s="168">
        <v>17.5</v>
      </c>
      <c r="H10" s="169">
        <f>SUM(F10:G10)</f>
        <v>2645.9</v>
      </c>
    </row>
    <row r="11" spans="2:18" x14ac:dyDescent="0.25">
      <c r="B11" s="418"/>
      <c r="C11" s="419"/>
      <c r="D11" s="419"/>
      <c r="E11" s="420"/>
      <c r="F11" s="419"/>
      <c r="G11" s="419"/>
      <c r="H11" s="420"/>
    </row>
    <row r="12" spans="2:18" x14ac:dyDescent="0.25">
      <c r="B12" s="166">
        <v>2010</v>
      </c>
      <c r="C12" s="167">
        <v>2996</v>
      </c>
      <c r="D12" s="167">
        <v>64</v>
      </c>
      <c r="E12" s="169">
        <f>SUM(C12:D12)</f>
        <v>3060</v>
      </c>
      <c r="F12" s="168">
        <v>2813.3</v>
      </c>
      <c r="G12" s="168">
        <v>33.5</v>
      </c>
      <c r="H12" s="169">
        <f>SUM(F12:G12)</f>
        <v>2846.8</v>
      </c>
    </row>
    <row r="13" spans="2:18" x14ac:dyDescent="0.25">
      <c r="B13" s="418"/>
      <c r="C13" s="419"/>
      <c r="D13" s="419"/>
      <c r="E13" s="420"/>
      <c r="F13" s="419"/>
      <c r="G13" s="419"/>
      <c r="H13" s="420"/>
    </row>
    <row r="14" spans="2:18" x14ac:dyDescent="0.25">
      <c r="B14" s="166">
        <v>2011</v>
      </c>
      <c r="C14" s="167">
        <v>3038</v>
      </c>
      <c r="D14" s="167">
        <v>31</v>
      </c>
      <c r="E14" s="169">
        <f>SUM(C14:D14)</f>
        <v>3069</v>
      </c>
      <c r="F14" s="168">
        <v>2828.9</v>
      </c>
      <c r="G14" s="168">
        <v>13</v>
      </c>
      <c r="H14" s="169">
        <f>SUM(F14:G14)</f>
        <v>2841.9</v>
      </c>
    </row>
    <row r="15" spans="2:18" x14ac:dyDescent="0.25">
      <c r="B15" s="418"/>
      <c r="C15" s="419"/>
      <c r="D15" s="419"/>
      <c r="E15" s="420"/>
      <c r="F15" s="419"/>
      <c r="G15" s="419"/>
      <c r="H15" s="420"/>
    </row>
    <row r="16" spans="2:18" x14ac:dyDescent="0.25">
      <c r="B16" s="166">
        <v>2012</v>
      </c>
      <c r="C16" s="167">
        <v>2969</v>
      </c>
      <c r="D16" s="167">
        <v>80</v>
      </c>
      <c r="E16" s="169">
        <f>SUM(C16:D16)</f>
        <v>3049</v>
      </c>
      <c r="F16" s="168">
        <v>2787</v>
      </c>
      <c r="G16" s="168">
        <v>30.5</v>
      </c>
      <c r="H16" s="169">
        <f>SUM(F16:G16)</f>
        <v>2817.5</v>
      </c>
    </row>
    <row r="17" spans="2:18" x14ac:dyDescent="0.25">
      <c r="B17" s="170" t="s">
        <v>1023</v>
      </c>
      <c r="C17" s="158"/>
      <c r="D17" s="158"/>
      <c r="E17" s="475"/>
      <c r="F17" s="475"/>
      <c r="G17" s="475"/>
      <c r="H17" s="475"/>
    </row>
    <row r="18" spans="2:18" x14ac:dyDescent="0.25">
      <c r="B18" s="738"/>
      <c r="C18" s="158"/>
      <c r="D18" s="158"/>
      <c r="E18" s="475"/>
      <c r="F18" s="475"/>
      <c r="G18" s="475"/>
      <c r="H18" s="475"/>
    </row>
    <row r="19" spans="2:18" x14ac:dyDescent="0.25">
      <c r="C19" s="170"/>
      <c r="D19" s="170"/>
      <c r="E19" s="170"/>
      <c r="F19" s="158"/>
      <c r="G19" s="158"/>
      <c r="H19" s="158"/>
      <c r="I19" s="158"/>
    </row>
    <row r="20" spans="2:18" x14ac:dyDescent="0.25">
      <c r="B20" s="646"/>
      <c r="C20" s="158"/>
      <c r="D20" s="158"/>
      <c r="E20" s="475"/>
      <c r="F20" s="158"/>
      <c r="G20" s="158"/>
      <c r="H20" s="158"/>
      <c r="I20" s="158"/>
      <c r="J20" s="158"/>
      <c r="K20" s="158"/>
      <c r="L20" s="158"/>
      <c r="M20" s="158"/>
      <c r="N20" s="158"/>
      <c r="O20" s="158"/>
      <c r="P20" s="158"/>
      <c r="Q20" s="158"/>
      <c r="R20" s="158"/>
    </row>
    <row r="21" spans="2:18" ht="25.5" customHeight="1" x14ac:dyDescent="0.3">
      <c r="B21" s="1729" t="s">
        <v>1024</v>
      </c>
      <c r="C21" s="1729"/>
      <c r="D21" s="1729"/>
      <c r="E21" s="1729"/>
      <c r="F21" s="1729"/>
      <c r="G21" s="1729"/>
      <c r="H21" s="1729"/>
      <c r="I21" s="1729"/>
      <c r="J21" s="1729"/>
      <c r="K21" s="1729"/>
      <c r="L21" s="1729"/>
      <c r="M21" s="1729"/>
      <c r="N21" s="1729"/>
      <c r="O21" s="1729"/>
      <c r="P21" s="1729"/>
      <c r="Q21" s="1729"/>
    </row>
    <row r="22" spans="2:18" x14ac:dyDescent="0.25">
      <c r="B22" s="158"/>
      <c r="C22" s="158"/>
      <c r="D22" s="158"/>
      <c r="E22" s="158"/>
      <c r="F22" s="158"/>
      <c r="G22" s="158"/>
      <c r="H22" s="158"/>
      <c r="I22" s="158"/>
      <c r="J22" s="158"/>
      <c r="K22" s="158"/>
      <c r="L22" s="158"/>
      <c r="M22" s="158"/>
      <c r="N22" s="158"/>
      <c r="O22" s="158"/>
      <c r="P22" s="158"/>
      <c r="Q22" s="158"/>
      <c r="R22" s="158"/>
    </row>
    <row r="23" spans="2:18" ht="15.9" customHeight="1" x14ac:dyDescent="0.25">
      <c r="B23" s="159"/>
      <c r="C23" s="160" t="s">
        <v>1019</v>
      </c>
      <c r="D23" s="160"/>
      <c r="E23" s="161"/>
      <c r="F23" s="160" t="s">
        <v>1020</v>
      </c>
      <c r="G23" s="160"/>
      <c r="H23" s="161"/>
    </row>
    <row r="24" spans="2:18" ht="15.6" x14ac:dyDescent="0.25">
      <c r="B24" s="162"/>
      <c r="C24" s="171" t="s">
        <v>1021</v>
      </c>
      <c r="D24" s="171" t="s">
        <v>1022</v>
      </c>
      <c r="E24" s="172" t="s">
        <v>780</v>
      </c>
      <c r="F24" s="171" t="s">
        <v>1021</v>
      </c>
      <c r="G24" s="171" t="s">
        <v>1022</v>
      </c>
      <c r="H24" s="172" t="s">
        <v>780</v>
      </c>
    </row>
    <row r="25" spans="2:18" x14ac:dyDescent="0.25">
      <c r="B25" s="418"/>
      <c r="C25" s="419"/>
      <c r="D25" s="419"/>
      <c r="E25" s="420"/>
      <c r="F25" s="419"/>
      <c r="G25" s="419"/>
      <c r="H25" s="420"/>
    </row>
    <row r="26" spans="2:18" x14ac:dyDescent="0.25">
      <c r="B26" s="166">
        <v>2009</v>
      </c>
      <c r="C26" s="167">
        <f>245+2137</f>
        <v>2382</v>
      </c>
      <c r="D26" s="167">
        <f>13+81</f>
        <v>94</v>
      </c>
      <c r="E26" s="169">
        <f>SUM(C26:D26)</f>
        <v>2476</v>
      </c>
      <c r="F26" s="168">
        <f>1466.3+726.5</f>
        <v>2192.8000000000002</v>
      </c>
      <c r="G26" s="168">
        <v>38.799999999999997</v>
      </c>
      <c r="H26" s="169">
        <f>SUM(F26:G26)</f>
        <v>2231.6000000000004</v>
      </c>
    </row>
    <row r="27" spans="2:18" x14ac:dyDescent="0.25">
      <c r="B27" s="418"/>
      <c r="C27" s="419"/>
      <c r="D27" s="419"/>
      <c r="E27" s="420"/>
      <c r="F27" s="419"/>
      <c r="G27" s="419"/>
      <c r="H27" s="420"/>
    </row>
    <row r="28" spans="2:18" x14ac:dyDescent="0.25">
      <c r="B28" s="166">
        <v>2010</v>
      </c>
      <c r="C28" s="167">
        <v>2621</v>
      </c>
      <c r="D28" s="167">
        <v>70</v>
      </c>
      <c r="E28" s="169">
        <f>SUM(C28:D28)</f>
        <v>2691</v>
      </c>
      <c r="F28" s="168">
        <v>2456.9</v>
      </c>
      <c r="G28" s="168">
        <v>27</v>
      </c>
      <c r="H28" s="169">
        <f>SUM(F28:G28)</f>
        <v>2483.9</v>
      </c>
    </row>
    <row r="29" spans="2:18" x14ac:dyDescent="0.25">
      <c r="B29" s="418"/>
      <c r="C29" s="419"/>
      <c r="D29" s="419"/>
      <c r="E29" s="420"/>
      <c r="F29" s="419"/>
      <c r="G29" s="419"/>
      <c r="H29" s="420"/>
    </row>
    <row r="30" spans="2:18" x14ac:dyDescent="0.25">
      <c r="B30" s="166">
        <v>2011</v>
      </c>
      <c r="C30" s="167">
        <v>2750</v>
      </c>
      <c r="D30" s="167">
        <v>96</v>
      </c>
      <c r="E30" s="169">
        <f>SUM(C30:D30)</f>
        <v>2846</v>
      </c>
      <c r="F30" s="168">
        <v>2581.6999999999998</v>
      </c>
      <c r="G30" s="168">
        <v>34.5</v>
      </c>
      <c r="H30" s="169">
        <f>SUM(F30:G30)</f>
        <v>2616.1999999999998</v>
      </c>
    </row>
    <row r="31" spans="2:18" x14ac:dyDescent="0.25">
      <c r="B31" s="418"/>
      <c r="C31" s="419"/>
      <c r="D31" s="419"/>
      <c r="E31" s="420"/>
      <c r="F31" s="419"/>
      <c r="G31" s="419"/>
      <c r="H31" s="420"/>
    </row>
    <row r="32" spans="2:18" x14ac:dyDescent="0.25">
      <c r="B32" s="166">
        <v>2012</v>
      </c>
      <c r="C32" s="167">
        <v>2765</v>
      </c>
      <c r="D32" s="167">
        <v>84</v>
      </c>
      <c r="E32" s="169">
        <f>SUM(C32:D32)</f>
        <v>2849</v>
      </c>
      <c r="F32" s="168">
        <v>2622.7</v>
      </c>
      <c r="G32" s="168">
        <v>30.3</v>
      </c>
      <c r="H32" s="169">
        <f>SUM(F32:G32)</f>
        <v>2653</v>
      </c>
    </row>
    <row r="33" spans="2:18" x14ac:dyDescent="0.25">
      <c r="B33" s="418"/>
      <c r="C33" s="419"/>
      <c r="D33" s="419"/>
      <c r="E33" s="420"/>
      <c r="F33" s="419"/>
      <c r="G33" s="419"/>
      <c r="H33" s="420"/>
    </row>
    <row r="34" spans="2:18" x14ac:dyDescent="0.25">
      <c r="B34" s="166">
        <v>2013</v>
      </c>
      <c r="C34" s="167">
        <v>2685</v>
      </c>
      <c r="D34" s="167">
        <v>95</v>
      </c>
      <c r="E34" s="169">
        <f>SUM(C34:D34)</f>
        <v>2780</v>
      </c>
      <c r="F34" s="168">
        <v>2554</v>
      </c>
      <c r="G34" s="168">
        <v>37</v>
      </c>
      <c r="H34" s="169">
        <f>SUM(F34:G34)</f>
        <v>2591</v>
      </c>
    </row>
    <row r="35" spans="2:18" x14ac:dyDescent="0.25">
      <c r="B35" s="170" t="s">
        <v>1023</v>
      </c>
      <c r="C35" s="170"/>
      <c r="D35" s="170"/>
      <c r="E35" s="170"/>
      <c r="F35" s="158"/>
      <c r="G35" s="158"/>
      <c r="H35" s="158"/>
      <c r="I35" s="158"/>
    </row>
    <row r="36" spans="2:18" x14ac:dyDescent="0.25">
      <c r="B36" s="158"/>
      <c r="C36" s="158"/>
      <c r="D36" s="158"/>
      <c r="E36" s="158"/>
      <c r="F36" s="158"/>
      <c r="G36" s="158"/>
      <c r="H36" s="158"/>
      <c r="I36" s="158"/>
      <c r="J36" s="158"/>
      <c r="K36" s="158"/>
      <c r="L36" s="158"/>
      <c r="M36" s="158"/>
      <c r="N36" s="158"/>
      <c r="O36" s="158"/>
      <c r="P36" s="158"/>
      <c r="Q36" s="158"/>
      <c r="R36" s="158"/>
    </row>
    <row r="37" spans="2:18" x14ac:dyDescent="0.25">
      <c r="B37" s="158"/>
      <c r="C37" s="158"/>
      <c r="D37" s="158"/>
      <c r="E37" s="158"/>
      <c r="F37" s="158"/>
      <c r="G37" s="158"/>
      <c r="H37" s="158"/>
      <c r="I37" s="158"/>
      <c r="J37" s="158"/>
      <c r="K37" s="158"/>
      <c r="L37" s="158"/>
      <c r="M37" s="158"/>
      <c r="N37" s="158"/>
      <c r="O37" s="158"/>
      <c r="P37" s="158"/>
      <c r="Q37" s="158"/>
      <c r="R37" s="158"/>
    </row>
    <row r="38" spans="2:18" x14ac:dyDescent="0.25">
      <c r="B38" s="158"/>
      <c r="C38" s="158"/>
      <c r="D38" s="158"/>
      <c r="E38" s="158"/>
      <c r="F38" s="173"/>
      <c r="G38" s="158"/>
      <c r="H38" s="158"/>
      <c r="I38" s="158"/>
      <c r="J38" s="158"/>
      <c r="K38" s="158"/>
      <c r="L38" s="158"/>
      <c r="M38" s="158"/>
      <c r="N38" s="158"/>
      <c r="O38" s="158"/>
      <c r="P38" s="158"/>
      <c r="Q38" s="158"/>
      <c r="R38" s="158"/>
    </row>
  </sheetData>
  <mergeCells count="2">
    <mergeCell ref="B1:Q1"/>
    <mergeCell ref="B21:Q21"/>
  </mergeCells>
  <phoneticPr fontId="15" type="noConversion"/>
  <printOptions horizontalCentered="1" verticalCentered="1"/>
  <pageMargins left="0.75" right="0.75" top="1" bottom="1" header="0.5" footer="0.5"/>
  <pageSetup scale="95" orientation="landscape" r:id="rId1"/>
  <headerFooter alignWithMargins="0">
    <oddFooter>&amp;R&amp;8Source: Office of Institutional Research</oddFooter>
  </headerFooter>
  <drawing r:id="rId2"/>
  <webPublishItems count="1">
    <webPublishItem id="11145" divId="FINAL COPY 2000_2001 FACT BOOK_11145" sourceType="sheet" destinationFile="C:\Documents and Settings\mkirkpatrick\My Documents\2005-2006 Fact Book\2005-2006 WEB PAGES\05-06fallandspringheadcountandFTEhistory.htm"/>
  </webPublishItem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6"/>
  <dimension ref="A1:IT129"/>
  <sheetViews>
    <sheetView zoomScale="60" zoomScaleNormal="60" workbookViewId="0">
      <selection sqref="A1:AD1"/>
    </sheetView>
  </sheetViews>
  <sheetFormatPr defaultColWidth="6.6640625" defaultRowHeight="13.2" x14ac:dyDescent="0.25"/>
  <cols>
    <col min="1" max="1" width="64" style="143" bestFit="1" customWidth="1"/>
    <col min="2" max="6" width="10.33203125" style="143" hidden="1" customWidth="1"/>
    <col min="7" max="25" width="10.33203125" style="143" customWidth="1"/>
    <col min="26" max="52" width="10.5546875" style="143" customWidth="1"/>
    <col min="53" max="16384" width="6.6640625" style="143"/>
  </cols>
  <sheetData>
    <row r="1" spans="1:34" ht="24.75" customHeight="1" x14ac:dyDescent="0.35">
      <c r="A1" s="1721" t="s">
        <v>593</v>
      </c>
      <c r="B1" s="1721"/>
      <c r="C1" s="1721"/>
      <c r="D1" s="1721"/>
      <c r="E1" s="1721"/>
      <c r="F1" s="1721"/>
      <c r="G1" s="1721"/>
      <c r="H1" s="1721"/>
      <c r="I1" s="1721"/>
      <c r="J1" s="1721"/>
      <c r="K1" s="1721"/>
      <c r="L1" s="1721"/>
      <c r="M1" s="1721"/>
      <c r="N1" s="1721"/>
      <c r="O1" s="1721"/>
      <c r="P1" s="1721"/>
      <c r="Q1" s="1721"/>
      <c r="R1" s="1721"/>
      <c r="S1" s="1721"/>
      <c r="T1" s="1721"/>
      <c r="U1" s="1721"/>
      <c r="V1" s="1721"/>
      <c r="W1" s="1721"/>
      <c r="X1" s="1721"/>
      <c r="Y1" s="1721"/>
      <c r="Z1" s="1721"/>
      <c r="AA1" s="1721"/>
      <c r="AB1" s="1721"/>
      <c r="AC1" s="1721"/>
      <c r="AD1" s="1721"/>
    </row>
    <row r="2" spans="1:34" ht="12.75" customHeight="1" thickBot="1" x14ac:dyDescent="0.3">
      <c r="A2" s="145"/>
      <c r="B2" s="145"/>
      <c r="C2" s="145"/>
      <c r="D2" s="145"/>
      <c r="E2" s="145"/>
      <c r="F2" s="145"/>
      <c r="G2" s="145"/>
      <c r="H2" s="145"/>
      <c r="I2" s="145"/>
      <c r="J2" s="145"/>
      <c r="K2" s="147"/>
      <c r="L2" s="147"/>
      <c r="M2" s="147"/>
      <c r="N2" s="147"/>
      <c r="O2" s="147"/>
      <c r="P2" s="147"/>
      <c r="Q2" s="147"/>
      <c r="R2" s="147"/>
      <c r="S2" s="328"/>
      <c r="T2" s="328"/>
      <c r="U2" s="328"/>
      <c r="V2" s="328"/>
      <c r="W2" s="328"/>
      <c r="X2" s="328"/>
      <c r="Y2" s="328"/>
      <c r="Z2" s="328"/>
      <c r="AA2" s="328"/>
      <c r="AB2" s="328"/>
      <c r="AC2" s="328"/>
      <c r="AD2" s="328"/>
      <c r="AE2" s="328"/>
      <c r="AF2" s="328"/>
      <c r="AG2" s="328"/>
      <c r="AH2" s="328"/>
    </row>
    <row r="3" spans="1:34" customFormat="1" ht="18" thickBot="1" x14ac:dyDescent="0.35">
      <c r="A3" s="1718" t="s">
        <v>419</v>
      </c>
      <c r="B3" s="1719"/>
      <c r="C3" s="1719"/>
      <c r="D3" s="1719"/>
      <c r="E3" s="1719"/>
      <c r="F3" s="1719"/>
      <c r="G3" s="1719"/>
      <c r="H3" s="1719"/>
      <c r="I3" s="1719"/>
      <c r="J3" s="1719"/>
      <c r="K3" s="1719"/>
      <c r="L3" s="1719"/>
      <c r="M3" s="1719"/>
      <c r="N3" s="1719"/>
      <c r="O3" s="1719"/>
      <c r="P3" s="1719"/>
      <c r="Q3" s="1719"/>
      <c r="R3" s="1719"/>
      <c r="S3" s="1719"/>
      <c r="T3" s="1719"/>
      <c r="U3" s="1719"/>
      <c r="V3" s="1719"/>
      <c r="W3" s="1719"/>
      <c r="X3" s="1719"/>
      <c r="Y3" s="1719"/>
      <c r="Z3" s="1719"/>
      <c r="AA3" s="1719"/>
      <c r="AB3" s="1719"/>
      <c r="AC3" s="1719"/>
      <c r="AD3" s="1720"/>
    </row>
    <row r="4" spans="1:34" ht="26.4" x14ac:dyDescent="0.25">
      <c r="A4" s="1744" t="s">
        <v>952</v>
      </c>
      <c r="B4" s="1480" t="s">
        <v>954</v>
      </c>
      <c r="C4" s="1480" t="s">
        <v>955</v>
      </c>
      <c r="D4" s="1480" t="s">
        <v>956</v>
      </c>
      <c r="E4" s="820" t="s">
        <v>957</v>
      </c>
      <c r="F4" s="148" t="s">
        <v>954</v>
      </c>
      <c r="G4" s="1480" t="s">
        <v>955</v>
      </c>
      <c r="H4" s="1480" t="s">
        <v>956</v>
      </c>
      <c r="I4" s="1481" t="s">
        <v>957</v>
      </c>
      <c r="J4" s="820" t="s">
        <v>958</v>
      </c>
      <c r="K4" s="148" t="s">
        <v>954</v>
      </c>
      <c r="L4" s="1480" t="s">
        <v>955</v>
      </c>
      <c r="M4" s="1480" t="s">
        <v>956</v>
      </c>
      <c r="N4" s="1481" t="s">
        <v>957</v>
      </c>
      <c r="O4" s="820" t="s">
        <v>958</v>
      </c>
      <c r="P4" s="1349" t="s">
        <v>954</v>
      </c>
      <c r="Q4" s="1349" t="s">
        <v>955</v>
      </c>
      <c r="R4" s="1349" t="s">
        <v>956</v>
      </c>
      <c r="S4" s="1263" t="s">
        <v>957</v>
      </c>
      <c r="T4" s="750" t="s">
        <v>958</v>
      </c>
      <c r="U4" s="148" t="s">
        <v>954</v>
      </c>
      <c r="V4" s="1480" t="s">
        <v>955</v>
      </c>
      <c r="W4" s="1480" t="s">
        <v>956</v>
      </c>
      <c r="X4" s="1481" t="s">
        <v>957</v>
      </c>
      <c r="Y4" s="729" t="s">
        <v>958</v>
      </c>
      <c r="Z4" s="148" t="s">
        <v>954</v>
      </c>
      <c r="AA4" s="1480" t="s">
        <v>955</v>
      </c>
      <c r="AB4" s="1480" t="s">
        <v>956</v>
      </c>
      <c r="AC4" s="1481" t="s">
        <v>957</v>
      </c>
      <c r="AD4" s="729" t="s">
        <v>958</v>
      </c>
      <c r="AE4" s="328"/>
      <c r="AF4" s="328"/>
      <c r="AG4" s="328"/>
    </row>
    <row r="5" spans="1:34" ht="12.75" customHeight="1" x14ac:dyDescent="0.25">
      <c r="A5" s="1745"/>
      <c r="B5" s="1742" t="s">
        <v>1407</v>
      </c>
      <c r="C5" s="1742"/>
      <c r="D5" s="1742"/>
      <c r="E5" s="1743"/>
      <c r="F5" s="1742" t="s">
        <v>1408</v>
      </c>
      <c r="G5" s="1742"/>
      <c r="H5" s="1742"/>
      <c r="I5" s="1742"/>
      <c r="J5" s="1743"/>
      <c r="K5" s="1726" t="s">
        <v>1396</v>
      </c>
      <c r="L5" s="1727"/>
      <c r="M5" s="1727"/>
      <c r="N5" s="1727"/>
      <c r="O5" s="1728"/>
      <c r="P5" s="1727" t="s">
        <v>1397</v>
      </c>
      <c r="Q5" s="1727"/>
      <c r="R5" s="1727"/>
      <c r="S5" s="1727"/>
      <c r="T5" s="1728"/>
      <c r="U5" s="1741" t="s">
        <v>1398</v>
      </c>
      <c r="V5" s="1742"/>
      <c r="W5" s="1742"/>
      <c r="X5" s="1742"/>
      <c r="Y5" s="1743"/>
      <c r="Z5" s="1741" t="s">
        <v>1574</v>
      </c>
      <c r="AA5" s="1742"/>
      <c r="AB5" s="1742"/>
      <c r="AC5" s="1742"/>
      <c r="AD5" s="1743"/>
      <c r="AE5" s="328"/>
      <c r="AF5" s="328"/>
      <c r="AG5" s="328"/>
    </row>
    <row r="6" spans="1:34" x14ac:dyDescent="0.25">
      <c r="A6" s="1115" t="s">
        <v>423</v>
      </c>
      <c r="B6" s="1100"/>
      <c r="C6" s="1100"/>
      <c r="D6" s="1100"/>
      <c r="E6" s="1107"/>
      <c r="F6" s="1101"/>
      <c r="G6" s="1100"/>
      <c r="H6" s="1100"/>
      <c r="I6" s="1100"/>
      <c r="J6" s="1107"/>
      <c r="K6" s="605"/>
      <c r="L6" s="578"/>
      <c r="M6" s="578"/>
      <c r="N6" s="578"/>
      <c r="O6" s="518"/>
      <c r="P6" s="1284"/>
      <c r="Q6" s="1248"/>
      <c r="R6" s="1248"/>
      <c r="S6" s="1248"/>
      <c r="T6" s="607"/>
      <c r="U6" s="605"/>
      <c r="V6" s="578"/>
      <c r="W6" s="578"/>
      <c r="X6" s="578"/>
      <c r="Y6" s="518"/>
      <c r="Z6" s="605"/>
      <c r="AA6" s="578"/>
      <c r="AB6" s="578"/>
      <c r="AC6" s="578"/>
      <c r="AD6" s="518"/>
      <c r="AE6" s="328"/>
      <c r="AF6" s="328"/>
      <c r="AG6" s="328"/>
    </row>
    <row r="7" spans="1:34" x14ac:dyDescent="0.25">
      <c r="A7" s="1116" t="s">
        <v>962</v>
      </c>
      <c r="B7" s="1153">
        <v>24</v>
      </c>
      <c r="C7" s="1153">
        <v>0</v>
      </c>
      <c r="D7" s="1153">
        <v>0</v>
      </c>
      <c r="E7" s="375">
        <f t="shared" ref="E7:E14" si="0">SUM(B7:D7)</f>
        <v>24</v>
      </c>
      <c r="F7" s="1153">
        <v>42</v>
      </c>
      <c r="G7" s="1153">
        <v>0</v>
      </c>
      <c r="H7" s="1153">
        <v>0</v>
      </c>
      <c r="I7" s="581">
        <f t="shared" ref="I7:I14" si="1">SUM(F7:H7)</f>
        <v>42</v>
      </c>
      <c r="J7" s="582">
        <f t="shared" ref="J7:J15" si="2">IF(E7&gt;0,(I7-E7)/E7,(IF(I7=0,"N/A",100%)))</f>
        <v>0.75</v>
      </c>
      <c r="K7" s="580">
        <v>84</v>
      </c>
      <c r="L7" s="581">
        <v>39</v>
      </c>
      <c r="M7" s="1111">
        <v>0</v>
      </c>
      <c r="N7" s="581">
        <f t="shared" ref="N7:N14" si="3">SUM(K7:M7)</f>
        <v>123</v>
      </c>
      <c r="O7" s="582">
        <f t="shared" ref="O7:O15" si="4">IF(I7&gt;0,(N7-I7)/I7,(IF(N7=0,"N/A",100%)))</f>
        <v>1.9285714285714286</v>
      </c>
      <c r="P7" s="1271">
        <v>60</v>
      </c>
      <c r="Q7" s="1271">
        <v>9</v>
      </c>
      <c r="R7" s="1272">
        <v>0</v>
      </c>
      <c r="S7" s="1271">
        <f t="shared" ref="S7:S14" si="5">SUM(P7:R7)</f>
        <v>69</v>
      </c>
      <c r="T7" s="616">
        <f t="shared" ref="T7:T15" si="6">IF(N7&gt;0,(S7-N7)/N7,(IF(S7=0,"N/A",100%)))</f>
        <v>-0.43902439024390244</v>
      </c>
      <c r="U7" s="580">
        <v>54</v>
      </c>
      <c r="V7" s="581">
        <v>6</v>
      </c>
      <c r="W7" s="1111">
        <v>0</v>
      </c>
      <c r="X7" s="581">
        <f t="shared" ref="X7:X14" si="7">SUM(U7:W7)</f>
        <v>60</v>
      </c>
      <c r="Y7" s="582">
        <f>IF(S7&gt;0,(X7-S7)/S7,(IF(X7=0,"N/A",100%)))</f>
        <v>-0.13043478260869565</v>
      </c>
      <c r="Z7" s="580">
        <v>0</v>
      </c>
      <c r="AA7" s="581">
        <v>93</v>
      </c>
      <c r="AB7" s="1111">
        <v>0</v>
      </c>
      <c r="AC7" s="581">
        <f t="shared" ref="AC7:AC14" si="8">SUM(Z7:AB7)</f>
        <v>93</v>
      </c>
      <c r="AD7" s="582">
        <f>IF(X7&gt;0,(AC7-X7)/X7,(IF(AC7=0,"N/A",100%)))</f>
        <v>0.55000000000000004</v>
      </c>
      <c r="AE7" s="328"/>
      <c r="AF7" s="328"/>
      <c r="AG7" s="328"/>
    </row>
    <row r="8" spans="1:34" s="156" customFormat="1" x14ac:dyDescent="0.25">
      <c r="A8" s="1117" t="s">
        <v>963</v>
      </c>
      <c r="B8" s="1154">
        <v>21</v>
      </c>
      <c r="C8" s="1154">
        <v>124</v>
      </c>
      <c r="D8" s="1154">
        <v>0</v>
      </c>
      <c r="E8" s="375">
        <f t="shared" si="0"/>
        <v>145</v>
      </c>
      <c r="F8" s="1157">
        <v>18</v>
      </c>
      <c r="G8" s="1153">
        <v>151</v>
      </c>
      <c r="H8" s="1153">
        <v>0</v>
      </c>
      <c r="I8" s="581">
        <f t="shared" si="1"/>
        <v>169</v>
      </c>
      <c r="J8" s="582">
        <f t="shared" si="2"/>
        <v>0.16551724137931034</v>
      </c>
      <c r="K8" s="580">
        <v>75</v>
      </c>
      <c r="L8" s="581">
        <v>187</v>
      </c>
      <c r="M8" s="1111">
        <v>0</v>
      </c>
      <c r="N8" s="581">
        <f t="shared" si="3"/>
        <v>262</v>
      </c>
      <c r="O8" s="582">
        <f t="shared" si="4"/>
        <v>0.55029585798816572</v>
      </c>
      <c r="P8" s="1271">
        <v>114</v>
      </c>
      <c r="Q8" s="1271">
        <v>233</v>
      </c>
      <c r="R8" s="1272">
        <v>0</v>
      </c>
      <c r="S8" s="1271">
        <f t="shared" si="5"/>
        <v>347</v>
      </c>
      <c r="T8" s="616">
        <f t="shared" si="6"/>
        <v>0.32442748091603052</v>
      </c>
      <c r="U8" s="580">
        <v>75</v>
      </c>
      <c r="V8" s="581">
        <v>314</v>
      </c>
      <c r="W8" s="1111">
        <v>0</v>
      </c>
      <c r="X8" s="581">
        <f t="shared" si="7"/>
        <v>389</v>
      </c>
      <c r="Y8" s="582">
        <f t="shared" ref="Y8:Y21" si="9">IF(S8&gt;0,(X8-S8)/S8,(IF(X8=0,"N/A",100%)))</f>
        <v>0.12103746397694524</v>
      </c>
      <c r="Z8" s="580">
        <v>33</v>
      </c>
      <c r="AA8" s="581">
        <v>244</v>
      </c>
      <c r="AB8" s="1111">
        <v>0</v>
      </c>
      <c r="AC8" s="581">
        <f t="shared" si="8"/>
        <v>277</v>
      </c>
      <c r="AD8" s="582">
        <f t="shared" ref="AD8:AD15" si="10">IF(X8&gt;0,(AC8-X8)/X8,(IF(AC8=0,"N/A",100%)))</f>
        <v>-0.2879177377892031</v>
      </c>
      <c r="AE8" s="569"/>
      <c r="AF8" s="569"/>
      <c r="AG8" s="569"/>
    </row>
    <row r="9" spans="1:34" x14ac:dyDescent="0.25">
      <c r="A9" s="1116" t="s">
        <v>964</v>
      </c>
      <c r="B9" s="1153">
        <v>11</v>
      </c>
      <c r="C9" s="1153">
        <v>0</v>
      </c>
      <c r="D9" s="1153">
        <v>0</v>
      </c>
      <c r="E9" s="375">
        <f t="shared" si="0"/>
        <v>11</v>
      </c>
      <c r="F9" s="1157">
        <v>6</v>
      </c>
      <c r="G9" s="1153">
        <v>0</v>
      </c>
      <c r="H9" s="1153">
        <v>0</v>
      </c>
      <c r="I9" s="581">
        <f t="shared" si="1"/>
        <v>6</v>
      </c>
      <c r="J9" s="582">
        <f t="shared" si="2"/>
        <v>-0.45454545454545453</v>
      </c>
      <c r="K9" s="580">
        <v>1</v>
      </c>
      <c r="L9" s="581">
        <v>0</v>
      </c>
      <c r="M9" s="581">
        <v>0</v>
      </c>
      <c r="N9" s="581">
        <f t="shared" si="3"/>
        <v>1</v>
      </c>
      <c r="O9" s="582">
        <f t="shared" si="4"/>
        <v>-0.83333333333333337</v>
      </c>
      <c r="P9" s="1271">
        <v>3</v>
      </c>
      <c r="Q9" s="1271">
        <v>0</v>
      </c>
      <c r="R9" s="1271">
        <v>0</v>
      </c>
      <c r="S9" s="1271">
        <f t="shared" si="5"/>
        <v>3</v>
      </c>
      <c r="T9" s="616">
        <f t="shared" si="6"/>
        <v>2</v>
      </c>
      <c r="U9" s="580">
        <v>4</v>
      </c>
      <c r="V9" s="581">
        <v>0</v>
      </c>
      <c r="W9" s="581">
        <v>0</v>
      </c>
      <c r="X9" s="581">
        <f t="shared" si="7"/>
        <v>4</v>
      </c>
      <c r="Y9" s="582">
        <f t="shared" si="9"/>
        <v>0.33333333333333331</v>
      </c>
      <c r="Z9" s="580">
        <v>0</v>
      </c>
      <c r="AA9" s="581">
        <v>9</v>
      </c>
      <c r="AB9" s="1111">
        <v>0</v>
      </c>
      <c r="AC9" s="581">
        <f t="shared" si="8"/>
        <v>9</v>
      </c>
      <c r="AD9" s="582">
        <f t="shared" si="10"/>
        <v>1.25</v>
      </c>
      <c r="AE9" s="328"/>
      <c r="AF9" s="328"/>
      <c r="AG9" s="328"/>
    </row>
    <row r="10" spans="1:34" x14ac:dyDescent="0.25">
      <c r="A10" s="1116" t="s">
        <v>965</v>
      </c>
      <c r="B10" s="1153">
        <v>99</v>
      </c>
      <c r="C10" s="1153">
        <v>51</v>
      </c>
      <c r="D10" s="1153">
        <v>0</v>
      </c>
      <c r="E10" s="375">
        <f t="shared" si="0"/>
        <v>150</v>
      </c>
      <c r="F10" s="1157">
        <v>21</v>
      </c>
      <c r="G10" s="1153">
        <v>0</v>
      </c>
      <c r="H10" s="1153">
        <v>0</v>
      </c>
      <c r="I10" s="581">
        <f t="shared" si="1"/>
        <v>21</v>
      </c>
      <c r="J10" s="582">
        <f t="shared" si="2"/>
        <v>-0.86</v>
      </c>
      <c r="K10" s="580">
        <v>87</v>
      </c>
      <c r="L10" s="581">
        <v>0</v>
      </c>
      <c r="M10" s="581">
        <v>0</v>
      </c>
      <c r="N10" s="581">
        <f t="shared" si="3"/>
        <v>87</v>
      </c>
      <c r="O10" s="582">
        <f t="shared" si="4"/>
        <v>3.1428571428571428</v>
      </c>
      <c r="P10" s="1271">
        <v>108</v>
      </c>
      <c r="Q10" s="1271">
        <v>0</v>
      </c>
      <c r="R10" s="1271">
        <v>0</v>
      </c>
      <c r="S10" s="1271">
        <f t="shared" si="5"/>
        <v>108</v>
      </c>
      <c r="T10" s="616">
        <f t="shared" si="6"/>
        <v>0.2413793103448276</v>
      </c>
      <c r="U10" s="580">
        <v>111</v>
      </c>
      <c r="V10" s="581">
        <v>0</v>
      </c>
      <c r="W10" s="581">
        <v>0</v>
      </c>
      <c r="X10" s="581">
        <f t="shared" si="7"/>
        <v>111</v>
      </c>
      <c r="Y10" s="582">
        <f t="shared" si="9"/>
        <v>2.7777777777777776E-2</v>
      </c>
      <c r="Z10" s="580">
        <v>6</v>
      </c>
      <c r="AA10" s="581">
        <v>33</v>
      </c>
      <c r="AB10" s="1111">
        <v>0</v>
      </c>
      <c r="AC10" s="581">
        <f t="shared" si="8"/>
        <v>39</v>
      </c>
      <c r="AD10" s="582">
        <f t="shared" si="10"/>
        <v>-0.64864864864864868</v>
      </c>
      <c r="AE10" s="328"/>
      <c r="AF10" s="328"/>
      <c r="AG10" s="328"/>
    </row>
    <row r="11" spans="1:34" x14ac:dyDescent="0.25">
      <c r="A11" s="1116" t="s">
        <v>966</v>
      </c>
      <c r="B11" s="1153">
        <v>0</v>
      </c>
      <c r="C11" s="1153">
        <v>51</v>
      </c>
      <c r="D11" s="1153">
        <v>0</v>
      </c>
      <c r="E11" s="375">
        <f t="shared" si="0"/>
        <v>51</v>
      </c>
      <c r="F11" s="1157">
        <v>0</v>
      </c>
      <c r="G11" s="1153">
        <v>45</v>
      </c>
      <c r="H11" s="1153">
        <v>0</v>
      </c>
      <c r="I11" s="581">
        <f t="shared" si="1"/>
        <v>45</v>
      </c>
      <c r="J11" s="582">
        <f t="shared" si="2"/>
        <v>-0.11764705882352941</v>
      </c>
      <c r="K11" s="580">
        <v>0</v>
      </c>
      <c r="L11" s="581">
        <v>36</v>
      </c>
      <c r="M11" s="581">
        <v>0</v>
      </c>
      <c r="N11" s="581">
        <f t="shared" si="3"/>
        <v>36</v>
      </c>
      <c r="O11" s="582">
        <f t="shared" si="4"/>
        <v>-0.2</v>
      </c>
      <c r="P11" s="1271">
        <v>0</v>
      </c>
      <c r="Q11" s="1271">
        <v>54</v>
      </c>
      <c r="R11" s="1271">
        <v>0</v>
      </c>
      <c r="S11" s="1271">
        <f t="shared" si="5"/>
        <v>54</v>
      </c>
      <c r="T11" s="616">
        <f t="shared" si="6"/>
        <v>0.5</v>
      </c>
      <c r="U11" s="580">
        <v>9</v>
      </c>
      <c r="V11" s="581">
        <v>108</v>
      </c>
      <c r="W11" s="581">
        <v>0</v>
      </c>
      <c r="X11" s="581">
        <f t="shared" si="7"/>
        <v>117</v>
      </c>
      <c r="Y11" s="582">
        <f t="shared" si="9"/>
        <v>1.1666666666666667</v>
      </c>
      <c r="Z11" s="580">
        <v>33</v>
      </c>
      <c r="AA11" s="581">
        <v>54</v>
      </c>
      <c r="AB11" s="1111">
        <v>0</v>
      </c>
      <c r="AC11" s="581">
        <f t="shared" si="8"/>
        <v>87</v>
      </c>
      <c r="AD11" s="582">
        <f t="shared" si="10"/>
        <v>-0.25641025641025639</v>
      </c>
      <c r="AE11" s="328"/>
      <c r="AF11" s="328"/>
      <c r="AG11" s="328"/>
    </row>
    <row r="12" spans="1:34" x14ac:dyDescent="0.25">
      <c r="A12" s="1116" t="s">
        <v>967</v>
      </c>
      <c r="B12" s="1153">
        <v>47</v>
      </c>
      <c r="C12" s="1153">
        <v>9</v>
      </c>
      <c r="D12" s="1153">
        <v>0</v>
      </c>
      <c r="E12" s="375">
        <f t="shared" si="0"/>
        <v>56</v>
      </c>
      <c r="F12" s="1157">
        <v>48</v>
      </c>
      <c r="G12" s="1153">
        <v>15</v>
      </c>
      <c r="H12" s="1153">
        <v>0</v>
      </c>
      <c r="I12" s="581">
        <f t="shared" si="1"/>
        <v>63</v>
      </c>
      <c r="J12" s="582">
        <f t="shared" si="2"/>
        <v>0.125</v>
      </c>
      <c r="K12" s="580">
        <v>63</v>
      </c>
      <c r="L12" s="581">
        <v>6</v>
      </c>
      <c r="M12" s="581">
        <v>0</v>
      </c>
      <c r="N12" s="581">
        <f t="shared" si="3"/>
        <v>69</v>
      </c>
      <c r="O12" s="582">
        <f t="shared" si="4"/>
        <v>9.5238095238095233E-2</v>
      </c>
      <c r="P12" s="1271">
        <v>45</v>
      </c>
      <c r="Q12" s="1271">
        <v>36</v>
      </c>
      <c r="R12" s="1271">
        <v>0</v>
      </c>
      <c r="S12" s="1271">
        <f t="shared" si="5"/>
        <v>81</v>
      </c>
      <c r="T12" s="616">
        <f t="shared" si="6"/>
        <v>0.17391304347826086</v>
      </c>
      <c r="U12" s="580">
        <v>32</v>
      </c>
      <c r="V12" s="581">
        <v>30</v>
      </c>
      <c r="W12" s="581">
        <v>0</v>
      </c>
      <c r="X12" s="581">
        <f t="shared" si="7"/>
        <v>62</v>
      </c>
      <c r="Y12" s="582">
        <f t="shared" si="9"/>
        <v>-0.23456790123456789</v>
      </c>
      <c r="Z12" s="580">
        <v>9</v>
      </c>
      <c r="AA12" s="581">
        <v>60</v>
      </c>
      <c r="AB12" s="1111">
        <v>0</v>
      </c>
      <c r="AC12" s="581">
        <f t="shared" si="8"/>
        <v>69</v>
      </c>
      <c r="AD12" s="582">
        <f t="shared" si="10"/>
        <v>0.11290322580645161</v>
      </c>
      <c r="AE12" s="328"/>
      <c r="AF12" s="328"/>
      <c r="AG12" s="328"/>
    </row>
    <row r="13" spans="1:34" x14ac:dyDescent="0.25">
      <c r="A13" s="1116" t="s">
        <v>968</v>
      </c>
      <c r="B13" s="1153">
        <v>0</v>
      </c>
      <c r="C13" s="1153">
        <v>156</v>
      </c>
      <c r="D13" s="1153">
        <v>0</v>
      </c>
      <c r="E13" s="375">
        <f t="shared" si="0"/>
        <v>156</v>
      </c>
      <c r="F13" s="1157">
        <v>0</v>
      </c>
      <c r="G13" s="1153">
        <v>147</v>
      </c>
      <c r="H13" s="1153">
        <v>0</v>
      </c>
      <c r="I13" s="581">
        <f t="shared" si="1"/>
        <v>147</v>
      </c>
      <c r="J13" s="582">
        <f t="shared" si="2"/>
        <v>-5.7692307692307696E-2</v>
      </c>
      <c r="K13" s="580">
        <v>0</v>
      </c>
      <c r="L13" s="581">
        <v>99</v>
      </c>
      <c r="M13" s="581">
        <v>0</v>
      </c>
      <c r="N13" s="581">
        <f t="shared" si="3"/>
        <v>99</v>
      </c>
      <c r="O13" s="582">
        <f t="shared" si="4"/>
        <v>-0.32653061224489793</v>
      </c>
      <c r="P13" s="1271">
        <v>0</v>
      </c>
      <c r="Q13" s="1271">
        <v>156</v>
      </c>
      <c r="R13" s="1271">
        <v>0</v>
      </c>
      <c r="S13" s="1271">
        <f t="shared" si="5"/>
        <v>156</v>
      </c>
      <c r="T13" s="616">
        <f t="shared" si="6"/>
        <v>0.5757575757575758</v>
      </c>
      <c r="U13" s="580">
        <v>0</v>
      </c>
      <c r="V13" s="581">
        <v>234</v>
      </c>
      <c r="W13" s="581">
        <v>0</v>
      </c>
      <c r="X13" s="581">
        <f t="shared" si="7"/>
        <v>234</v>
      </c>
      <c r="Y13" s="582">
        <f t="shared" si="9"/>
        <v>0.5</v>
      </c>
      <c r="Z13" s="580">
        <v>0</v>
      </c>
      <c r="AA13" s="581">
        <v>171</v>
      </c>
      <c r="AB13" s="1111">
        <v>0</v>
      </c>
      <c r="AC13" s="581">
        <f t="shared" si="8"/>
        <v>171</v>
      </c>
      <c r="AD13" s="582">
        <f t="shared" si="10"/>
        <v>-0.26923076923076922</v>
      </c>
      <c r="AE13" s="328"/>
      <c r="AF13" s="328"/>
      <c r="AG13" s="328"/>
    </row>
    <row r="14" spans="1:34" x14ac:dyDescent="0.25">
      <c r="A14" s="1116" t="s">
        <v>969</v>
      </c>
      <c r="B14" s="1153">
        <v>0</v>
      </c>
      <c r="C14" s="1153">
        <v>108</v>
      </c>
      <c r="D14" s="1153">
        <v>0</v>
      </c>
      <c r="E14" s="375">
        <f t="shared" si="0"/>
        <v>108</v>
      </c>
      <c r="F14" s="1157">
        <v>0</v>
      </c>
      <c r="G14" s="1153">
        <v>66</v>
      </c>
      <c r="H14" s="1153">
        <v>0</v>
      </c>
      <c r="I14" s="581">
        <f t="shared" si="1"/>
        <v>66</v>
      </c>
      <c r="J14" s="582">
        <f t="shared" si="2"/>
        <v>-0.3888888888888889</v>
      </c>
      <c r="K14" s="580">
        <v>0</v>
      </c>
      <c r="L14" s="581">
        <v>42</v>
      </c>
      <c r="M14" s="581">
        <v>0</v>
      </c>
      <c r="N14" s="581">
        <f t="shared" si="3"/>
        <v>42</v>
      </c>
      <c r="O14" s="582">
        <f t="shared" si="4"/>
        <v>-0.36363636363636365</v>
      </c>
      <c r="P14" s="1271">
        <v>0</v>
      </c>
      <c r="Q14" s="1271">
        <v>33</v>
      </c>
      <c r="R14" s="1271">
        <v>0</v>
      </c>
      <c r="S14" s="1271">
        <f t="shared" si="5"/>
        <v>33</v>
      </c>
      <c r="T14" s="616">
        <f t="shared" si="6"/>
        <v>-0.21428571428571427</v>
      </c>
      <c r="U14" s="580">
        <v>0</v>
      </c>
      <c r="V14" s="581">
        <v>69</v>
      </c>
      <c r="W14" s="581">
        <v>0</v>
      </c>
      <c r="X14" s="581">
        <f t="shared" si="7"/>
        <v>69</v>
      </c>
      <c r="Y14" s="582">
        <f t="shared" si="9"/>
        <v>1.0909090909090908</v>
      </c>
      <c r="Z14" s="580">
        <v>0</v>
      </c>
      <c r="AA14" s="581">
        <v>105</v>
      </c>
      <c r="AB14" s="1111">
        <v>0</v>
      </c>
      <c r="AC14" s="581">
        <f t="shared" si="8"/>
        <v>105</v>
      </c>
      <c r="AD14" s="582">
        <f t="shared" si="10"/>
        <v>0.52173913043478259</v>
      </c>
      <c r="AE14" s="328"/>
      <c r="AF14" s="328"/>
      <c r="AG14" s="328"/>
    </row>
    <row r="15" spans="1:34" s="575" customFormat="1" ht="13.8" x14ac:dyDescent="0.25">
      <c r="A15" s="1118" t="s">
        <v>961</v>
      </c>
      <c r="B15" s="585">
        <f t="shared" ref="B15:I15" si="11">SUM(B7:B14)</f>
        <v>202</v>
      </c>
      <c r="C15" s="585">
        <f t="shared" si="11"/>
        <v>499</v>
      </c>
      <c r="D15" s="585">
        <f t="shared" si="11"/>
        <v>0</v>
      </c>
      <c r="E15" s="587">
        <f t="shared" si="11"/>
        <v>701</v>
      </c>
      <c r="F15" s="585">
        <f t="shared" si="11"/>
        <v>135</v>
      </c>
      <c r="G15" s="585">
        <f t="shared" si="11"/>
        <v>424</v>
      </c>
      <c r="H15" s="585">
        <f t="shared" si="11"/>
        <v>0</v>
      </c>
      <c r="I15" s="586">
        <f t="shared" si="11"/>
        <v>559</v>
      </c>
      <c r="J15" s="582">
        <f t="shared" si="2"/>
        <v>-0.20256776034236804</v>
      </c>
      <c r="K15" s="585">
        <f t="shared" ref="K15:S15" si="12">SUM(K7:K14)</f>
        <v>310</v>
      </c>
      <c r="L15" s="586">
        <f t="shared" si="12"/>
        <v>409</v>
      </c>
      <c r="M15" s="586">
        <f t="shared" si="12"/>
        <v>0</v>
      </c>
      <c r="N15" s="586">
        <f t="shared" si="12"/>
        <v>719</v>
      </c>
      <c r="O15" s="588">
        <f t="shared" si="4"/>
        <v>0.28622540250447226</v>
      </c>
      <c r="P15" s="1273">
        <f t="shared" si="12"/>
        <v>330</v>
      </c>
      <c r="Q15" s="1273">
        <f t="shared" si="12"/>
        <v>521</v>
      </c>
      <c r="R15" s="1273">
        <f t="shared" si="12"/>
        <v>0</v>
      </c>
      <c r="S15" s="1273">
        <f t="shared" si="12"/>
        <v>851</v>
      </c>
      <c r="T15" s="668">
        <f t="shared" si="6"/>
        <v>0.1835883171070932</v>
      </c>
      <c r="U15" s="585">
        <f>SUM(U7:U14)</f>
        <v>285</v>
      </c>
      <c r="V15" s="586">
        <f>SUM(V7:V14)</f>
        <v>761</v>
      </c>
      <c r="W15" s="586">
        <f>SUM(W7:W14)</f>
        <v>0</v>
      </c>
      <c r="X15" s="586">
        <f>SUM(X7:X14)</f>
        <v>1046</v>
      </c>
      <c r="Y15" s="588">
        <f t="shared" si="9"/>
        <v>0.2291421856639248</v>
      </c>
      <c r="Z15" s="585">
        <f>SUM(Z7:Z14)</f>
        <v>81</v>
      </c>
      <c r="AA15" s="586">
        <f>SUM(AA7:AA14)</f>
        <v>769</v>
      </c>
      <c r="AB15" s="586">
        <f>SUM(AB7:AB14)</f>
        <v>0</v>
      </c>
      <c r="AC15" s="586">
        <f>SUM(AC7:AC14)</f>
        <v>850</v>
      </c>
      <c r="AD15" s="588">
        <f t="shared" si="10"/>
        <v>-0.18738049713193117</v>
      </c>
    </row>
    <row r="16" spans="1:34" x14ac:dyDescent="0.25">
      <c r="A16" s="1119" t="s">
        <v>424</v>
      </c>
      <c r="B16" s="1155"/>
      <c r="C16" s="1155"/>
      <c r="D16" s="1155"/>
      <c r="E16" s="518"/>
      <c r="F16" s="1101"/>
      <c r="G16" s="1100"/>
      <c r="H16" s="1100"/>
      <c r="I16" s="578"/>
      <c r="J16" s="518"/>
      <c r="K16" s="605"/>
      <c r="L16" s="578"/>
      <c r="M16" s="578"/>
      <c r="N16" s="578"/>
      <c r="O16" s="518"/>
      <c r="P16" s="1284"/>
      <c r="Q16" s="1248"/>
      <c r="R16" s="1248"/>
      <c r="S16" s="1248"/>
      <c r="T16" s="607"/>
      <c r="U16" s="605"/>
      <c r="V16" s="578"/>
      <c r="W16" s="578"/>
      <c r="X16" s="578"/>
      <c r="Y16" s="518"/>
      <c r="Z16" s="605"/>
      <c r="AA16" s="578"/>
      <c r="AB16" s="578"/>
      <c r="AC16" s="578"/>
      <c r="AD16" s="518"/>
      <c r="AE16" s="328"/>
      <c r="AF16" s="328"/>
      <c r="AG16" s="328"/>
    </row>
    <row r="17" spans="1:33" s="372" customFormat="1" x14ac:dyDescent="0.25">
      <c r="A17" s="1120" t="s">
        <v>503</v>
      </c>
      <c r="B17" s="1111">
        <v>0</v>
      </c>
      <c r="C17" s="1111">
        <v>18</v>
      </c>
      <c r="D17" s="1111">
        <v>0</v>
      </c>
      <c r="E17" s="375">
        <f>SUM(B17:D17)</f>
        <v>18</v>
      </c>
      <c r="F17" s="1157">
        <v>0</v>
      </c>
      <c r="G17" s="1153">
        <v>33</v>
      </c>
      <c r="H17" s="1153">
        <v>0</v>
      </c>
      <c r="I17" s="581">
        <f>SUM(F17:H17)</f>
        <v>33</v>
      </c>
      <c r="J17" s="582">
        <f>IF(E17&gt;0,(I17-E17)/E17,(IF(I17=0,"N/A",100%)))</f>
        <v>0.83333333333333337</v>
      </c>
      <c r="K17" s="1140">
        <v>0</v>
      </c>
      <c r="L17" s="581">
        <v>18</v>
      </c>
      <c r="M17" s="581">
        <v>0</v>
      </c>
      <c r="N17" s="581">
        <f>SUM(K17:M17)</f>
        <v>18</v>
      </c>
      <c r="O17" s="582">
        <f>IF(I17&gt;0,(N17-I17)/I17,(IF(N17=0,"N/A",100%)))</f>
        <v>-0.45454545454545453</v>
      </c>
      <c r="P17" s="1274">
        <v>0</v>
      </c>
      <c r="Q17" s="1274">
        <v>0</v>
      </c>
      <c r="R17" s="1274">
        <v>0</v>
      </c>
      <c r="S17" s="1271">
        <f>SUM(P17:R17)</f>
        <v>0</v>
      </c>
      <c r="T17" s="616">
        <f>IF(N17&gt;0,(S17-N17)/N17,(IF(S17=0,"N/A",100%)))</f>
        <v>-1</v>
      </c>
      <c r="U17" s="1479">
        <v>0</v>
      </c>
      <c r="V17" s="1108">
        <v>0</v>
      </c>
      <c r="W17" s="581">
        <v>0</v>
      </c>
      <c r="X17" s="581">
        <f>SUM(U17:W17)</f>
        <v>0</v>
      </c>
      <c r="Y17" s="582" t="str">
        <f>IF(S17&gt;0,(X17-S17)/S17,(IF(X17=0,"N/A",100%)))</f>
        <v>N/A</v>
      </c>
      <c r="Z17" s="1479">
        <v>0</v>
      </c>
      <c r="AA17" s="1108">
        <v>0</v>
      </c>
      <c r="AB17" s="581">
        <v>0</v>
      </c>
      <c r="AC17" s="581">
        <f>SUM(Z17:AB17)</f>
        <v>0</v>
      </c>
      <c r="AD17" s="582" t="str">
        <f>IF(X17&gt;0,(AC17-X17)/X17,(IF(AC17=0,"N/A",100%)))</f>
        <v>N/A</v>
      </c>
      <c r="AE17" s="871"/>
      <c r="AF17" s="871"/>
      <c r="AG17" s="871"/>
    </row>
    <row r="18" spans="1:33" x14ac:dyDescent="0.25">
      <c r="A18" s="1121" t="s">
        <v>988</v>
      </c>
      <c r="B18" s="1153">
        <v>0</v>
      </c>
      <c r="C18" s="1153">
        <v>111</v>
      </c>
      <c r="D18" s="1153">
        <v>0</v>
      </c>
      <c r="E18" s="375">
        <f>SUM(B18:D18)</f>
        <v>111</v>
      </c>
      <c r="F18" s="1157">
        <v>57</v>
      </c>
      <c r="G18" s="1153">
        <v>96</v>
      </c>
      <c r="H18" s="1153">
        <v>0</v>
      </c>
      <c r="I18" s="580">
        <f>SUM(F18:H18)</f>
        <v>153</v>
      </c>
      <c r="J18" s="582">
        <f>IF(E18&gt;0,(I18-E18)/E18,(IF(I18=0,"N/A",100%)))</f>
        <v>0.3783783783783784</v>
      </c>
      <c r="K18" s="580">
        <v>33</v>
      </c>
      <c r="L18" s="581">
        <v>54</v>
      </c>
      <c r="M18" s="581">
        <v>0</v>
      </c>
      <c r="N18" s="581">
        <f>SUM(K18:M18)</f>
        <v>87</v>
      </c>
      <c r="O18" s="582">
        <f>IF(I18&gt;0,(N18-I18)/I18,(IF(N18=0,"N/A",100%)))</f>
        <v>-0.43137254901960786</v>
      </c>
      <c r="P18" s="1271">
        <v>42</v>
      </c>
      <c r="Q18" s="1271">
        <v>51</v>
      </c>
      <c r="R18" s="1271">
        <v>0</v>
      </c>
      <c r="S18" s="1271">
        <f>SUM(P18:R18)</f>
        <v>93</v>
      </c>
      <c r="T18" s="616">
        <f>IF(N18&gt;0,(S18-N18)/N18,(IF(S18=0,"N/A",100%)))</f>
        <v>6.8965517241379309E-2</v>
      </c>
      <c r="U18" s="580">
        <v>45</v>
      </c>
      <c r="V18" s="581">
        <v>54</v>
      </c>
      <c r="W18" s="581">
        <v>0</v>
      </c>
      <c r="X18" s="581">
        <f>SUM(U18:W18)</f>
        <v>99</v>
      </c>
      <c r="Y18" s="582">
        <f t="shared" si="9"/>
        <v>6.4516129032258063E-2</v>
      </c>
      <c r="Z18" s="580">
        <v>54</v>
      </c>
      <c r="AA18" s="581">
        <v>24</v>
      </c>
      <c r="AB18" s="581">
        <v>0</v>
      </c>
      <c r="AC18" s="581">
        <f>SUM(Z18:AB18)</f>
        <v>78</v>
      </c>
      <c r="AD18" s="582">
        <f t="shared" ref="AD18:AD21" si="13">IF(X18&gt;0,(AC18-X18)/X18,(IF(AC18=0,"N/A",100%)))</f>
        <v>-0.21212121212121213</v>
      </c>
      <c r="AE18" s="328"/>
      <c r="AF18" s="328"/>
      <c r="AG18" s="328"/>
    </row>
    <row r="19" spans="1:33" x14ac:dyDescent="0.25">
      <c r="A19" s="1121" t="s">
        <v>960</v>
      </c>
      <c r="B19" s="1153">
        <v>51</v>
      </c>
      <c r="C19" s="1153">
        <v>216</v>
      </c>
      <c r="D19" s="1153">
        <v>0</v>
      </c>
      <c r="E19" s="375">
        <f>SUM(B19:D19)</f>
        <v>267</v>
      </c>
      <c r="F19" s="1157">
        <v>57</v>
      </c>
      <c r="G19" s="1153">
        <v>117</v>
      </c>
      <c r="H19" s="1153">
        <v>0</v>
      </c>
      <c r="I19" s="580">
        <f>SUM(F19:H19)</f>
        <v>174</v>
      </c>
      <c r="J19" s="582">
        <f>IF(E19&gt;0,(I19-E19)/E19,(IF(I19=0,"N/A",100%)))</f>
        <v>-0.34831460674157305</v>
      </c>
      <c r="K19" s="580">
        <v>150</v>
      </c>
      <c r="L19" s="581">
        <v>42</v>
      </c>
      <c r="M19" s="581">
        <v>0</v>
      </c>
      <c r="N19" s="581">
        <f>SUM(K19:M19)</f>
        <v>192</v>
      </c>
      <c r="O19" s="582">
        <f>IF(I19&gt;0,(N19-I19)/I19,(IF(N19=0,"N/A",100%)))</f>
        <v>0.10344827586206896</v>
      </c>
      <c r="P19" s="1271">
        <v>123</v>
      </c>
      <c r="Q19" s="1271">
        <v>72</v>
      </c>
      <c r="R19" s="1271">
        <v>0</v>
      </c>
      <c r="S19" s="1271">
        <f>SUM(P19:R19)</f>
        <v>195</v>
      </c>
      <c r="T19" s="616">
        <f>IF(N19&gt;0,(S19-N19)/N19,(IF(S19=0,"N/A",100%)))</f>
        <v>1.5625E-2</v>
      </c>
      <c r="U19" s="580">
        <v>102</v>
      </c>
      <c r="V19" s="581">
        <v>144</v>
      </c>
      <c r="W19" s="581">
        <v>0</v>
      </c>
      <c r="X19" s="581">
        <f>SUM(U19:W19)</f>
        <v>246</v>
      </c>
      <c r="Y19" s="582">
        <f t="shared" si="9"/>
        <v>0.26153846153846155</v>
      </c>
      <c r="Z19" s="580">
        <v>42</v>
      </c>
      <c r="AA19" s="581">
        <v>198</v>
      </c>
      <c r="AB19" s="581">
        <v>0</v>
      </c>
      <c r="AC19" s="581">
        <f>SUM(Z19:AB19)</f>
        <v>240</v>
      </c>
      <c r="AD19" s="582">
        <f t="shared" si="13"/>
        <v>-2.4390243902439025E-2</v>
      </c>
      <c r="AE19" s="328"/>
      <c r="AF19" s="328"/>
      <c r="AG19" s="328"/>
    </row>
    <row r="20" spans="1:33" s="575" customFormat="1" ht="13.8" x14ac:dyDescent="0.25">
      <c r="A20" s="1122" t="s">
        <v>961</v>
      </c>
      <c r="B20" s="586">
        <f t="shared" ref="B20:I20" si="14">SUM(B17:B19)</f>
        <v>51</v>
      </c>
      <c r="C20" s="586">
        <f t="shared" si="14"/>
        <v>345</v>
      </c>
      <c r="D20" s="586">
        <f t="shared" si="14"/>
        <v>0</v>
      </c>
      <c r="E20" s="587">
        <f t="shared" si="14"/>
        <v>396</v>
      </c>
      <c r="F20" s="585">
        <f t="shared" si="14"/>
        <v>114</v>
      </c>
      <c r="G20" s="586">
        <f t="shared" si="14"/>
        <v>246</v>
      </c>
      <c r="H20" s="586">
        <f t="shared" si="14"/>
        <v>0</v>
      </c>
      <c r="I20" s="585">
        <f t="shared" si="14"/>
        <v>360</v>
      </c>
      <c r="J20" s="588">
        <f>IF(E20&gt;0,(I20-E20)/E20,(IF(I20=0,"N/A",100%)))</f>
        <v>-9.0909090909090912E-2</v>
      </c>
      <c r="K20" s="585">
        <f t="shared" ref="K20:S20" si="15">SUM(K17:K19)</f>
        <v>183</v>
      </c>
      <c r="L20" s="586">
        <f t="shared" si="15"/>
        <v>114</v>
      </c>
      <c r="M20" s="586">
        <f t="shared" si="15"/>
        <v>0</v>
      </c>
      <c r="N20" s="586">
        <f t="shared" si="15"/>
        <v>297</v>
      </c>
      <c r="O20" s="588">
        <f>IF(I20&gt;0,(N20-I20)/I20,(IF(N20=0,"N/A",100%)))</f>
        <v>-0.17499999999999999</v>
      </c>
      <c r="P20" s="1273">
        <f t="shared" si="15"/>
        <v>165</v>
      </c>
      <c r="Q20" s="1273">
        <f t="shared" si="15"/>
        <v>123</v>
      </c>
      <c r="R20" s="1273">
        <f t="shared" si="15"/>
        <v>0</v>
      </c>
      <c r="S20" s="1273">
        <f t="shared" si="15"/>
        <v>288</v>
      </c>
      <c r="T20" s="668">
        <f>IF(N20&gt;0,(S20-N20)/N20,(IF(S20=0,"N/A",100%)))</f>
        <v>-3.0303030303030304E-2</v>
      </c>
      <c r="U20" s="585">
        <f>SUM(U17:U19)</f>
        <v>147</v>
      </c>
      <c r="V20" s="586">
        <f>SUM(V17:V19)</f>
        <v>198</v>
      </c>
      <c r="W20" s="586">
        <f>SUM(W17:W19)</f>
        <v>0</v>
      </c>
      <c r="X20" s="586">
        <f>SUM(X17:X19)</f>
        <v>345</v>
      </c>
      <c r="Y20" s="588">
        <f t="shared" si="9"/>
        <v>0.19791666666666666</v>
      </c>
      <c r="Z20" s="585">
        <f>SUM(Z17:Z19)</f>
        <v>96</v>
      </c>
      <c r="AA20" s="586">
        <f>SUM(AA17:AA19)</f>
        <v>222</v>
      </c>
      <c r="AB20" s="586">
        <f>SUM(AB17:AB19)</f>
        <v>0</v>
      </c>
      <c r="AC20" s="586">
        <f>SUM(AC17:AC19)</f>
        <v>318</v>
      </c>
      <c r="AD20" s="588">
        <f t="shared" si="13"/>
        <v>-7.8260869565217397E-2</v>
      </c>
    </row>
    <row r="21" spans="1:33" s="596" customFormat="1" ht="16.2" thickBot="1" x14ac:dyDescent="0.35">
      <c r="A21" s="1106" t="s">
        <v>425</v>
      </c>
      <c r="B21" s="1141">
        <f t="shared" ref="B21:I21" si="16">+B20+B15</f>
        <v>253</v>
      </c>
      <c r="C21" s="1141">
        <f t="shared" si="16"/>
        <v>844</v>
      </c>
      <c r="D21" s="1141">
        <f t="shared" si="16"/>
        <v>0</v>
      </c>
      <c r="E21" s="1142">
        <f t="shared" si="16"/>
        <v>1097</v>
      </c>
      <c r="F21" s="1141">
        <f t="shared" si="16"/>
        <v>249</v>
      </c>
      <c r="G21" s="1123">
        <f t="shared" si="16"/>
        <v>670</v>
      </c>
      <c r="H21" s="1123">
        <f t="shared" si="16"/>
        <v>0</v>
      </c>
      <c r="I21" s="1141">
        <f t="shared" si="16"/>
        <v>919</v>
      </c>
      <c r="J21" s="1124">
        <f>IF(E21&gt;0,(I21-E21)/E21,(IF(I21=0,"N/A",100%)))</f>
        <v>-0.16226071103008205</v>
      </c>
      <c r="K21" s="1141">
        <f t="shared" ref="K21:S21" si="17">+K20+K15</f>
        <v>493</v>
      </c>
      <c r="L21" s="1123">
        <f t="shared" si="17"/>
        <v>523</v>
      </c>
      <c r="M21" s="1123">
        <f t="shared" si="17"/>
        <v>0</v>
      </c>
      <c r="N21" s="1123">
        <f t="shared" si="17"/>
        <v>1016</v>
      </c>
      <c r="O21" s="1124">
        <f>IF(I21&gt;0,(N21-I21)/I21,(IF(N21=0,"N/A",100%)))</f>
        <v>0.10554951033732318</v>
      </c>
      <c r="P21" s="1275">
        <f t="shared" si="17"/>
        <v>495</v>
      </c>
      <c r="Q21" s="1275">
        <f t="shared" si="17"/>
        <v>644</v>
      </c>
      <c r="R21" s="1275">
        <f t="shared" si="17"/>
        <v>0</v>
      </c>
      <c r="S21" s="1275">
        <f t="shared" si="17"/>
        <v>1139</v>
      </c>
      <c r="T21" s="1276">
        <f>IF(N21&gt;0,(S21-N21)/N21,(IF(S21=0,"N/A",100%)))</f>
        <v>0.12106299212598425</v>
      </c>
      <c r="U21" s="1141">
        <f>+U20+U15</f>
        <v>432</v>
      </c>
      <c r="V21" s="1123">
        <f>+V20+V15</f>
        <v>959</v>
      </c>
      <c r="W21" s="1123">
        <f>+W20+W15</f>
        <v>0</v>
      </c>
      <c r="X21" s="1123">
        <f>+X20+X15</f>
        <v>1391</v>
      </c>
      <c r="Y21" s="1124">
        <f t="shared" si="9"/>
        <v>0.22124670763827919</v>
      </c>
      <c r="Z21" s="1141">
        <f>+Z20+Z15</f>
        <v>177</v>
      </c>
      <c r="AA21" s="1123">
        <f>+AA20+AA15</f>
        <v>991</v>
      </c>
      <c r="AB21" s="1123">
        <f>+AB20+AB15</f>
        <v>0</v>
      </c>
      <c r="AC21" s="1123">
        <f>+AC20+AC15</f>
        <v>1168</v>
      </c>
      <c r="AD21" s="1124">
        <f t="shared" si="13"/>
        <v>-0.16031631919482386</v>
      </c>
    </row>
    <row r="22" spans="1:33" x14ac:dyDescent="0.25">
      <c r="A22" s="597"/>
      <c r="B22" s="597"/>
      <c r="C22" s="597"/>
      <c r="D22" s="597"/>
      <c r="E22" s="597"/>
      <c r="F22" s="597"/>
      <c r="G22" s="597"/>
      <c r="H22" s="597"/>
      <c r="I22" s="597"/>
      <c r="J22" s="597"/>
      <c r="K22" s="335"/>
      <c r="L22" s="335"/>
      <c r="M22" s="335"/>
      <c r="N22" s="335"/>
      <c r="O22" s="335"/>
      <c r="P22" s="328"/>
      <c r="Q22" s="328"/>
      <c r="R22" s="328"/>
      <c r="S22" s="328"/>
      <c r="T22" s="328"/>
      <c r="U22" s="328"/>
      <c r="V22" s="328"/>
      <c r="W22" s="328"/>
      <c r="X22" s="328"/>
      <c r="Y22" s="328"/>
      <c r="Z22" s="328"/>
      <c r="AA22" s="328"/>
      <c r="AB22" s="328"/>
      <c r="AC22" s="328"/>
      <c r="AD22" s="328"/>
      <c r="AE22" s="328"/>
      <c r="AF22" s="328"/>
      <c r="AG22" s="328"/>
    </row>
    <row r="23" spans="1:33" ht="13.8" thickBot="1" x14ac:dyDescent="0.3">
      <c r="A23" s="597"/>
      <c r="B23" s="597"/>
      <c r="C23" s="597"/>
      <c r="D23" s="597"/>
      <c r="E23" s="597"/>
      <c r="F23" s="597"/>
      <c r="G23" s="597"/>
      <c r="H23" s="597"/>
      <c r="I23" s="597"/>
      <c r="J23" s="597"/>
      <c r="K23" s="335"/>
      <c r="L23" s="335"/>
      <c r="M23" s="335"/>
      <c r="N23" s="335"/>
      <c r="O23" s="335"/>
      <c r="P23" s="328"/>
      <c r="Q23" s="328"/>
      <c r="R23" s="328"/>
      <c r="S23" s="328"/>
      <c r="T23" s="328"/>
      <c r="U23" s="328"/>
      <c r="V23" s="328"/>
      <c r="W23" s="328"/>
      <c r="X23" s="328"/>
      <c r="Y23" s="328"/>
      <c r="Z23" s="328"/>
      <c r="AA23" s="328"/>
      <c r="AB23" s="328"/>
      <c r="AC23" s="328"/>
      <c r="AD23" s="328"/>
      <c r="AE23" s="328"/>
      <c r="AF23" s="328"/>
      <c r="AG23" s="328"/>
    </row>
    <row r="24" spans="1:33" customFormat="1" ht="18" thickBot="1" x14ac:dyDescent="0.35">
      <c r="A24" s="1718" t="s">
        <v>415</v>
      </c>
      <c r="B24" s="1719"/>
      <c r="C24" s="1719"/>
      <c r="D24" s="1719"/>
      <c r="E24" s="1719"/>
      <c r="F24" s="1719"/>
      <c r="G24" s="1719"/>
      <c r="H24" s="1719"/>
      <c r="I24" s="1719"/>
      <c r="J24" s="1719"/>
      <c r="K24" s="1719"/>
      <c r="L24" s="1719"/>
      <c r="M24" s="1719"/>
      <c r="N24" s="1719"/>
      <c r="O24" s="1719"/>
      <c r="P24" s="1719"/>
      <c r="Q24" s="1719"/>
      <c r="R24" s="1719"/>
      <c r="S24" s="1719"/>
      <c r="T24" s="1719"/>
      <c r="U24" s="1719"/>
      <c r="V24" s="1719"/>
      <c r="W24" s="1719"/>
      <c r="X24" s="1719"/>
      <c r="Y24" s="1719"/>
      <c r="Z24" s="1719"/>
      <c r="AA24" s="1719"/>
      <c r="AB24" s="1719"/>
      <c r="AC24" s="1719"/>
      <c r="AD24" s="1720"/>
    </row>
    <row r="25" spans="1:33" ht="26.4" x14ac:dyDescent="0.25">
      <c r="A25" s="1746" t="s">
        <v>952</v>
      </c>
      <c r="B25" s="1480" t="s">
        <v>954</v>
      </c>
      <c r="C25" s="1480" t="s">
        <v>955</v>
      </c>
      <c r="D25" s="1480" t="s">
        <v>956</v>
      </c>
      <c r="E25" s="820" t="s">
        <v>957</v>
      </c>
      <c r="F25" s="148" t="s">
        <v>954</v>
      </c>
      <c r="G25" s="1480" t="s">
        <v>955</v>
      </c>
      <c r="H25" s="1480" t="s">
        <v>956</v>
      </c>
      <c r="I25" s="1486" t="s">
        <v>957</v>
      </c>
      <c r="J25" s="729" t="s">
        <v>958</v>
      </c>
      <c r="K25" s="148" t="s">
        <v>954</v>
      </c>
      <c r="L25" s="1480" t="s">
        <v>955</v>
      </c>
      <c r="M25" s="1480" t="s">
        <v>956</v>
      </c>
      <c r="N25" s="1481" t="s">
        <v>957</v>
      </c>
      <c r="O25" s="729" t="s">
        <v>958</v>
      </c>
      <c r="P25" s="1349" t="s">
        <v>954</v>
      </c>
      <c r="Q25" s="1349" t="s">
        <v>955</v>
      </c>
      <c r="R25" s="1349" t="s">
        <v>956</v>
      </c>
      <c r="S25" s="1263" t="s">
        <v>957</v>
      </c>
      <c r="T25" s="750" t="s">
        <v>958</v>
      </c>
      <c r="U25" s="148" t="s">
        <v>954</v>
      </c>
      <c r="V25" s="1480" t="s">
        <v>955</v>
      </c>
      <c r="W25" s="1480" t="s">
        <v>956</v>
      </c>
      <c r="X25" s="1481" t="s">
        <v>957</v>
      </c>
      <c r="Y25" s="729" t="s">
        <v>958</v>
      </c>
      <c r="Z25" s="148" t="s">
        <v>954</v>
      </c>
      <c r="AA25" s="1480" t="s">
        <v>955</v>
      </c>
      <c r="AB25" s="1480" t="s">
        <v>956</v>
      </c>
      <c r="AC25" s="1481" t="s">
        <v>957</v>
      </c>
      <c r="AD25" s="729" t="s">
        <v>958</v>
      </c>
      <c r="AE25" s="328"/>
      <c r="AF25" s="328"/>
      <c r="AG25" s="328"/>
    </row>
    <row r="26" spans="1:33" ht="12.75" customHeight="1" x14ac:dyDescent="0.25">
      <c r="A26" s="1747"/>
      <c r="B26" s="1748" t="s">
        <v>1407</v>
      </c>
      <c r="C26" s="1727"/>
      <c r="D26" s="1727"/>
      <c r="E26" s="1728"/>
      <c r="F26" s="1741" t="s">
        <v>1408</v>
      </c>
      <c r="G26" s="1742"/>
      <c r="H26" s="1742"/>
      <c r="I26" s="1742"/>
      <c r="J26" s="1743"/>
      <c r="K26" s="1726" t="s">
        <v>1396</v>
      </c>
      <c r="L26" s="1727"/>
      <c r="M26" s="1727"/>
      <c r="N26" s="1727"/>
      <c r="O26" s="1728"/>
      <c r="P26" s="1727" t="s">
        <v>1397</v>
      </c>
      <c r="Q26" s="1727"/>
      <c r="R26" s="1727"/>
      <c r="S26" s="1727"/>
      <c r="T26" s="1728"/>
      <c r="U26" s="1741" t="s">
        <v>1398</v>
      </c>
      <c r="V26" s="1742"/>
      <c r="W26" s="1742"/>
      <c r="X26" s="1742"/>
      <c r="Y26" s="1743"/>
      <c r="Z26" s="1741" t="s">
        <v>1574</v>
      </c>
      <c r="AA26" s="1742"/>
      <c r="AB26" s="1742"/>
      <c r="AC26" s="1742"/>
      <c r="AD26" s="1743"/>
      <c r="AE26" s="328"/>
      <c r="AF26" s="328"/>
      <c r="AG26" s="328"/>
    </row>
    <row r="27" spans="1:33" x14ac:dyDescent="0.25">
      <c r="A27" s="1102" t="s">
        <v>426</v>
      </c>
      <c r="B27" s="1158"/>
      <c r="C27" s="1158"/>
      <c r="D27" s="1158"/>
      <c r="E27" s="1159"/>
      <c r="F27" s="1101"/>
      <c r="G27" s="1100"/>
      <c r="H27" s="1100"/>
      <c r="I27" s="1109"/>
      <c r="J27" s="1107"/>
      <c r="K27" s="605"/>
      <c r="L27" s="578"/>
      <c r="M27" s="578"/>
      <c r="N27" s="578"/>
      <c r="O27" s="518"/>
      <c r="P27" s="1284"/>
      <c r="Q27" s="1248"/>
      <c r="R27" s="1248"/>
      <c r="S27" s="1248"/>
      <c r="T27" s="607"/>
      <c r="U27" s="605"/>
      <c r="V27" s="578"/>
      <c r="W27" s="578"/>
      <c r="X27" s="578"/>
      <c r="Y27" s="518"/>
      <c r="Z27" s="605"/>
      <c r="AA27" s="578"/>
      <c r="AB27" s="578"/>
      <c r="AC27" s="578"/>
      <c r="AD27" s="518"/>
      <c r="AE27" s="328"/>
      <c r="AF27" s="328"/>
      <c r="AG27" s="328"/>
    </row>
    <row r="28" spans="1:33" x14ac:dyDescent="0.25">
      <c r="A28" s="1103" t="s">
        <v>971</v>
      </c>
      <c r="B28" s="1153">
        <v>6</v>
      </c>
      <c r="C28" s="1153">
        <v>28</v>
      </c>
      <c r="D28" s="1153">
        <v>0</v>
      </c>
      <c r="E28" s="375">
        <f>SUM(B28:D28)</f>
        <v>34</v>
      </c>
      <c r="F28" s="1157">
        <v>9</v>
      </c>
      <c r="G28" s="1153">
        <v>3</v>
      </c>
      <c r="H28" s="1153">
        <v>0</v>
      </c>
      <c r="I28" s="1112">
        <f>SUM(F28:H28)</f>
        <v>12</v>
      </c>
      <c r="J28" s="582">
        <f t="shared" ref="J28:J33" si="18">IF(E28&gt;0,(I28-E28)/E28,(IF(I28=0,"N/A",100%)))</f>
        <v>-0.6470588235294118</v>
      </c>
      <c r="K28" s="580">
        <v>15</v>
      </c>
      <c r="L28" s="581">
        <v>0</v>
      </c>
      <c r="M28" s="581">
        <v>0</v>
      </c>
      <c r="N28" s="581">
        <f>SUM(K28:M28)</f>
        <v>15</v>
      </c>
      <c r="O28" s="582">
        <f t="shared" ref="O28:O33" si="19">IF(I28&gt;0,(N28-I28)/I28,(IF(N28=0,"N/A",100%)))</f>
        <v>0.25</v>
      </c>
      <c r="P28" s="1271">
        <v>0</v>
      </c>
      <c r="Q28" s="1271">
        <v>0</v>
      </c>
      <c r="R28" s="1271">
        <v>0</v>
      </c>
      <c r="S28" s="1271">
        <f>SUM(P28:R28)</f>
        <v>0</v>
      </c>
      <c r="T28" s="616">
        <f t="shared" ref="T28:T33" si="20">IF(N28&gt;0,(S28-N28)/N28,(IF(S28=0,"N/A",100%)))</f>
        <v>-1</v>
      </c>
      <c r="U28" s="580">
        <v>15</v>
      </c>
      <c r="V28" s="581">
        <v>0</v>
      </c>
      <c r="W28" s="581">
        <v>0</v>
      </c>
      <c r="X28" s="581">
        <f>SUM(U28:W28)</f>
        <v>15</v>
      </c>
      <c r="Y28" s="582">
        <f t="shared" ref="Y28:Y38" si="21">IF(S28&gt;0,(X28-S28)/S28,(IF(X28=0,"N/A",100%)))</f>
        <v>1</v>
      </c>
      <c r="Z28" s="580">
        <v>0</v>
      </c>
      <c r="AA28" s="581">
        <v>15</v>
      </c>
      <c r="AB28" s="581">
        <v>0</v>
      </c>
      <c r="AC28" s="581">
        <f>SUM(Z28:AB28)</f>
        <v>15</v>
      </c>
      <c r="AD28" s="582">
        <f t="shared" ref="AD28:AD30" si="22">IF(X28&gt;0,(AC28-X28)/X28,(IF(AC28=0,"N/A",100%)))</f>
        <v>0</v>
      </c>
      <c r="AE28" s="328"/>
      <c r="AF28" s="328"/>
      <c r="AG28" s="328"/>
    </row>
    <row r="29" spans="1:33" x14ac:dyDescent="0.25">
      <c r="A29" s="1103" t="s">
        <v>972</v>
      </c>
      <c r="B29" s="1153">
        <v>66</v>
      </c>
      <c r="C29" s="1153">
        <v>183</v>
      </c>
      <c r="D29" s="1153">
        <v>267</v>
      </c>
      <c r="E29" s="375">
        <f>SUM(B29:D29)</f>
        <v>516</v>
      </c>
      <c r="F29" s="1157">
        <v>51</v>
      </c>
      <c r="G29" s="1153">
        <v>129</v>
      </c>
      <c r="H29" s="1153">
        <v>273</v>
      </c>
      <c r="I29" s="1112">
        <f>SUM(F29:H29)</f>
        <v>453</v>
      </c>
      <c r="J29" s="582">
        <f t="shared" si="18"/>
        <v>-0.12209302325581395</v>
      </c>
      <c r="K29" s="580">
        <v>78</v>
      </c>
      <c r="L29" s="581">
        <v>132</v>
      </c>
      <c r="M29" s="581">
        <v>417</v>
      </c>
      <c r="N29" s="581">
        <f>SUM(K29:M29)</f>
        <v>627</v>
      </c>
      <c r="O29" s="582">
        <f t="shared" si="19"/>
        <v>0.38410596026490068</v>
      </c>
      <c r="P29" s="1271">
        <v>99</v>
      </c>
      <c r="Q29" s="1271">
        <v>147</v>
      </c>
      <c r="R29" s="1271">
        <v>297</v>
      </c>
      <c r="S29" s="1271">
        <f>SUM(P29:R29)</f>
        <v>543</v>
      </c>
      <c r="T29" s="616">
        <f t="shared" si="20"/>
        <v>-0.13397129186602871</v>
      </c>
      <c r="U29" s="580">
        <v>99</v>
      </c>
      <c r="V29" s="581">
        <v>225</v>
      </c>
      <c r="W29" s="581">
        <v>399</v>
      </c>
      <c r="X29" s="581">
        <f>SUM(U29:W29)</f>
        <v>723</v>
      </c>
      <c r="Y29" s="582">
        <f t="shared" si="21"/>
        <v>0.33149171270718231</v>
      </c>
      <c r="Z29" s="580">
        <v>0</v>
      </c>
      <c r="AA29" s="581">
        <v>223</v>
      </c>
      <c r="AB29" s="581">
        <v>369</v>
      </c>
      <c r="AC29" s="581">
        <f>SUM(Z29:AB29)</f>
        <v>592</v>
      </c>
      <c r="AD29" s="582">
        <f t="shared" si="22"/>
        <v>-0.18118948824343015</v>
      </c>
      <c r="AE29" s="328"/>
      <c r="AF29" s="328"/>
      <c r="AG29" s="328"/>
    </row>
    <row r="30" spans="1:33" x14ac:dyDescent="0.25">
      <c r="A30" s="1103" t="s">
        <v>973</v>
      </c>
      <c r="B30" s="1153">
        <v>0</v>
      </c>
      <c r="C30" s="1153">
        <v>0</v>
      </c>
      <c r="D30" s="1153">
        <v>0</v>
      </c>
      <c r="E30" s="375">
        <f>SUM(B30:D30)</f>
        <v>0</v>
      </c>
      <c r="F30" s="1157">
        <v>0</v>
      </c>
      <c r="G30" s="1153">
        <v>0</v>
      </c>
      <c r="H30" s="1153">
        <v>0</v>
      </c>
      <c r="I30" s="1112">
        <f>SUM(F30:H30)</f>
        <v>0</v>
      </c>
      <c r="J30" s="582" t="str">
        <f t="shared" si="18"/>
        <v>N/A</v>
      </c>
      <c r="K30" s="580">
        <v>0</v>
      </c>
      <c r="L30" s="581">
        <v>0</v>
      </c>
      <c r="M30" s="581">
        <v>33</v>
      </c>
      <c r="N30" s="581">
        <f>SUM(K30:M30)</f>
        <v>33</v>
      </c>
      <c r="O30" s="582">
        <f t="shared" si="19"/>
        <v>1</v>
      </c>
      <c r="P30" s="1271">
        <v>0</v>
      </c>
      <c r="Q30" s="1271">
        <v>0</v>
      </c>
      <c r="R30" s="1271">
        <v>0</v>
      </c>
      <c r="S30" s="1271">
        <f>SUM(P30:R30)</f>
        <v>0</v>
      </c>
      <c r="T30" s="616">
        <f t="shared" si="20"/>
        <v>-1</v>
      </c>
      <c r="U30" s="580">
        <v>0</v>
      </c>
      <c r="V30" s="581">
        <v>0</v>
      </c>
      <c r="W30" s="581">
        <v>0</v>
      </c>
      <c r="X30" s="581">
        <f>SUM(U30:W30)</f>
        <v>0</v>
      </c>
      <c r="Y30" s="582" t="str">
        <f t="shared" si="21"/>
        <v>N/A</v>
      </c>
      <c r="Z30" s="580">
        <v>0</v>
      </c>
      <c r="AA30" s="581">
        <v>0</v>
      </c>
      <c r="AB30" s="581">
        <v>0</v>
      </c>
      <c r="AC30" s="581">
        <f>SUM(Z30:AB30)</f>
        <v>0</v>
      </c>
      <c r="AD30" s="582" t="str">
        <f t="shared" si="22"/>
        <v>N/A</v>
      </c>
      <c r="AE30" s="328"/>
      <c r="AF30" s="328"/>
      <c r="AG30" s="328"/>
    </row>
    <row r="31" spans="1:33" x14ac:dyDescent="0.25">
      <c r="A31" s="1125" t="s">
        <v>1097</v>
      </c>
      <c r="B31" s="1160">
        <v>0</v>
      </c>
      <c r="C31" s="1160">
        <v>15</v>
      </c>
      <c r="D31" s="1160">
        <v>420</v>
      </c>
      <c r="E31" s="375">
        <f>SUM(B31:D31)</f>
        <v>435</v>
      </c>
      <c r="F31" s="1157">
        <v>0</v>
      </c>
      <c r="G31" s="1153">
        <v>54</v>
      </c>
      <c r="H31" s="1153">
        <v>321</v>
      </c>
      <c r="I31" s="1112">
        <f>SUM(F31:H31)</f>
        <v>375</v>
      </c>
      <c r="J31" s="582">
        <f t="shared" si="18"/>
        <v>-0.13793103448275862</v>
      </c>
      <c r="K31" s="580">
        <v>0</v>
      </c>
      <c r="L31" s="581">
        <v>12</v>
      </c>
      <c r="M31" s="581">
        <v>495</v>
      </c>
      <c r="N31" s="581">
        <f>SUM(K31:M31)</f>
        <v>507</v>
      </c>
      <c r="O31" s="582">
        <f t="shared" si="19"/>
        <v>0.35199999999999998</v>
      </c>
      <c r="P31" s="1271">
        <v>0</v>
      </c>
      <c r="Q31" s="1271">
        <v>0</v>
      </c>
      <c r="R31" s="1271">
        <v>435</v>
      </c>
      <c r="S31" s="1271">
        <f>SUM(P31:R31)</f>
        <v>435</v>
      </c>
      <c r="T31" s="616">
        <f t="shared" si="20"/>
        <v>-0.14201183431952663</v>
      </c>
      <c r="U31" s="580">
        <v>0</v>
      </c>
      <c r="V31" s="581">
        <v>36</v>
      </c>
      <c r="W31" s="581">
        <v>423</v>
      </c>
      <c r="X31" s="581">
        <f>SUM(U31:W31)</f>
        <v>459</v>
      </c>
      <c r="Y31" s="582">
        <f>IF(S31&gt;0,(X31-S31)/S31,(IF(X31=0,"N/A",100%)))</f>
        <v>5.5172413793103448E-2</v>
      </c>
      <c r="Z31" s="580">
        <v>0</v>
      </c>
      <c r="AA31" s="581">
        <v>30</v>
      </c>
      <c r="AB31" s="581">
        <v>315</v>
      </c>
      <c r="AC31" s="581">
        <f>SUM(Z31:AB31)</f>
        <v>345</v>
      </c>
      <c r="AD31" s="582">
        <f>IF(X31&gt;0,(AC31-X31)/X31,(IF(AC31=0,"N/A",100%)))</f>
        <v>-0.24836601307189543</v>
      </c>
      <c r="AE31" s="328"/>
      <c r="AF31" s="328"/>
      <c r="AG31" s="328"/>
    </row>
    <row r="32" spans="1:33" x14ac:dyDescent="0.25">
      <c r="A32" s="1103" t="s">
        <v>974</v>
      </c>
      <c r="B32" s="1153">
        <v>36</v>
      </c>
      <c r="C32" s="1153">
        <v>48</v>
      </c>
      <c r="D32" s="1153">
        <v>0</v>
      </c>
      <c r="E32" s="375">
        <f>SUM(B32:D32)</f>
        <v>84</v>
      </c>
      <c r="F32" s="1157">
        <v>39</v>
      </c>
      <c r="G32" s="1153">
        <v>0</v>
      </c>
      <c r="H32" s="1153">
        <v>0</v>
      </c>
      <c r="I32" s="1112">
        <f>SUM(F32:H32)</f>
        <v>39</v>
      </c>
      <c r="J32" s="582">
        <f t="shared" si="18"/>
        <v>-0.5357142857142857</v>
      </c>
      <c r="K32" s="580">
        <v>42</v>
      </c>
      <c r="L32" s="581">
        <v>33</v>
      </c>
      <c r="M32" s="581">
        <v>0</v>
      </c>
      <c r="N32" s="581">
        <f>SUM(K32:M32)</f>
        <v>75</v>
      </c>
      <c r="O32" s="582">
        <f t="shared" si="19"/>
        <v>0.92307692307692313</v>
      </c>
      <c r="P32" s="1271">
        <v>51</v>
      </c>
      <c r="Q32" s="1271">
        <v>3</v>
      </c>
      <c r="R32" s="1271">
        <v>0</v>
      </c>
      <c r="S32" s="1271">
        <f>SUM(P32:R32)</f>
        <v>54</v>
      </c>
      <c r="T32" s="616">
        <f t="shared" si="20"/>
        <v>-0.28000000000000003</v>
      </c>
      <c r="U32" s="580">
        <v>18</v>
      </c>
      <c r="V32" s="581">
        <v>27</v>
      </c>
      <c r="W32" s="581">
        <v>0</v>
      </c>
      <c r="X32" s="581">
        <f>SUM(U32:W32)</f>
        <v>45</v>
      </c>
      <c r="Y32" s="582">
        <f t="shared" si="21"/>
        <v>-0.16666666666666666</v>
      </c>
      <c r="Z32" s="580">
        <v>0</v>
      </c>
      <c r="AA32" s="581">
        <v>39</v>
      </c>
      <c r="AB32" s="581">
        <v>0</v>
      </c>
      <c r="AC32" s="581">
        <f>SUM(Z32:AB32)</f>
        <v>39</v>
      </c>
      <c r="AD32" s="582">
        <f t="shared" ref="AD32:AD33" si="23">IF(X32&gt;0,(AC32-X32)/X32,(IF(AC32=0,"N/A",100%)))</f>
        <v>-0.13333333333333333</v>
      </c>
      <c r="AE32" s="328"/>
      <c r="AF32" s="328"/>
      <c r="AG32" s="328"/>
    </row>
    <row r="33" spans="1:254" s="575" customFormat="1" ht="13.8" x14ac:dyDescent="0.25">
      <c r="A33" s="1104" t="s">
        <v>961</v>
      </c>
      <c r="B33" s="1113">
        <f t="shared" ref="B33:I33" si="24">SUM(B28:B32)</f>
        <v>108</v>
      </c>
      <c r="C33" s="1113">
        <f t="shared" si="24"/>
        <v>274</v>
      </c>
      <c r="D33" s="1113">
        <f t="shared" si="24"/>
        <v>687</v>
      </c>
      <c r="E33" s="587">
        <f>SUM(E28:E32)</f>
        <v>1069</v>
      </c>
      <c r="F33" s="1113">
        <f t="shared" si="24"/>
        <v>99</v>
      </c>
      <c r="G33" s="1113">
        <f t="shared" si="24"/>
        <v>186</v>
      </c>
      <c r="H33" s="1113">
        <f t="shared" si="24"/>
        <v>594</v>
      </c>
      <c r="I33" s="1113">
        <f t="shared" si="24"/>
        <v>879</v>
      </c>
      <c r="J33" s="588">
        <f t="shared" si="18"/>
        <v>-0.17773620205799812</v>
      </c>
      <c r="K33" s="585">
        <f t="shared" ref="K33:S33" si="25">SUM(K28:K32)</f>
        <v>135</v>
      </c>
      <c r="L33" s="586">
        <f t="shared" si="25"/>
        <v>177</v>
      </c>
      <c r="M33" s="586">
        <f t="shared" si="25"/>
        <v>945</v>
      </c>
      <c r="N33" s="586">
        <f t="shared" si="25"/>
        <v>1257</v>
      </c>
      <c r="O33" s="588">
        <f t="shared" si="19"/>
        <v>0.43003412969283278</v>
      </c>
      <c r="P33" s="1273">
        <f t="shared" si="25"/>
        <v>150</v>
      </c>
      <c r="Q33" s="1273">
        <f t="shared" si="25"/>
        <v>150</v>
      </c>
      <c r="R33" s="1273">
        <f t="shared" si="25"/>
        <v>732</v>
      </c>
      <c r="S33" s="1273">
        <f t="shared" si="25"/>
        <v>1032</v>
      </c>
      <c r="T33" s="668">
        <f t="shared" si="20"/>
        <v>-0.17899761336515513</v>
      </c>
      <c r="U33" s="585">
        <f>SUM(U28:U32)</f>
        <v>132</v>
      </c>
      <c r="V33" s="586">
        <f>SUM(V28:V32)</f>
        <v>288</v>
      </c>
      <c r="W33" s="586">
        <f>SUM(W28:W32)</f>
        <v>822</v>
      </c>
      <c r="X33" s="586">
        <f>SUM(X28:X32)</f>
        <v>1242</v>
      </c>
      <c r="Y33" s="588">
        <f t="shared" si="21"/>
        <v>0.20348837209302326</v>
      </c>
      <c r="Z33" s="585">
        <f>SUM(Z28:Z32)</f>
        <v>0</v>
      </c>
      <c r="AA33" s="586">
        <f>SUM(AA28:AA32)</f>
        <v>307</v>
      </c>
      <c r="AB33" s="586">
        <f>SUM(AB28:AB32)</f>
        <v>684</v>
      </c>
      <c r="AC33" s="586">
        <f>SUM(AC28:AC32)</f>
        <v>991</v>
      </c>
      <c r="AD33" s="588">
        <f t="shared" si="23"/>
        <v>-0.20209339774557167</v>
      </c>
    </row>
    <row r="34" spans="1:254" x14ac:dyDescent="0.25">
      <c r="A34" s="1102" t="s">
        <v>427</v>
      </c>
      <c r="B34" s="1100"/>
      <c r="C34" s="1100"/>
      <c r="D34" s="1100"/>
      <c r="E34" s="518"/>
      <c r="F34" s="1101"/>
      <c r="G34" s="1100"/>
      <c r="H34" s="1100"/>
      <c r="I34" s="1114"/>
      <c r="J34" s="518"/>
      <c r="K34" s="605"/>
      <c r="L34" s="578"/>
      <c r="M34" s="578"/>
      <c r="N34" s="578"/>
      <c r="O34" s="518"/>
      <c r="P34" s="1284"/>
      <c r="Q34" s="1248"/>
      <c r="R34" s="1248"/>
      <c r="S34" s="1248"/>
      <c r="T34" s="607"/>
      <c r="U34" s="605"/>
      <c r="V34" s="578"/>
      <c r="W34" s="578"/>
      <c r="X34" s="578"/>
      <c r="Y34" s="518"/>
      <c r="Z34" s="605"/>
      <c r="AA34" s="578"/>
      <c r="AB34" s="578"/>
      <c r="AC34" s="578"/>
      <c r="AD34" s="518"/>
      <c r="AE34" s="328"/>
      <c r="AF34" s="328"/>
      <c r="AG34" s="328"/>
    </row>
    <row r="35" spans="1:254" x14ac:dyDescent="0.25">
      <c r="A35" s="1103" t="s">
        <v>1005</v>
      </c>
      <c r="B35" s="1153">
        <v>101</v>
      </c>
      <c r="C35" s="1153">
        <v>116</v>
      </c>
      <c r="D35" s="1153">
        <v>0</v>
      </c>
      <c r="E35" s="375">
        <f>SUM(B35:D35)</f>
        <v>217</v>
      </c>
      <c r="F35" s="1157">
        <v>106</v>
      </c>
      <c r="G35" s="1153">
        <v>103</v>
      </c>
      <c r="H35" s="1153">
        <v>0</v>
      </c>
      <c r="I35" s="1112">
        <f>SUM(F35:H35)</f>
        <v>209</v>
      </c>
      <c r="J35" s="582">
        <f>IF(E35&gt;0,(I35-E35)/E35,(IF(I35=0,"N/A",100%)))</f>
        <v>-3.6866359447004608E-2</v>
      </c>
      <c r="K35" s="580">
        <v>27</v>
      </c>
      <c r="L35" s="581">
        <v>227</v>
      </c>
      <c r="M35" s="581">
        <v>0</v>
      </c>
      <c r="N35" s="581">
        <f>SUM(K35:M35)</f>
        <v>254</v>
      </c>
      <c r="O35" s="582">
        <f>IF(I35&gt;0,(N35-I35)/I35,(IF(N35=0,"N/A",100%)))</f>
        <v>0.21531100478468901</v>
      </c>
      <c r="P35" s="1271">
        <v>44</v>
      </c>
      <c r="Q35" s="1271">
        <v>158</v>
      </c>
      <c r="R35" s="1271">
        <v>0</v>
      </c>
      <c r="S35" s="1271">
        <f>SUM(P35:R35)</f>
        <v>202</v>
      </c>
      <c r="T35" s="616">
        <f>IF(N35&gt;0,(S35-N35)/N35,(IF(S35=0,"N/A",100%)))</f>
        <v>-0.20472440944881889</v>
      </c>
      <c r="U35" s="580">
        <v>82</v>
      </c>
      <c r="V35" s="581">
        <v>151</v>
      </c>
      <c r="W35" s="581">
        <v>6</v>
      </c>
      <c r="X35" s="581">
        <f>SUM(U35:W35)</f>
        <v>239</v>
      </c>
      <c r="Y35" s="582">
        <f t="shared" si="21"/>
        <v>0.18316831683168316</v>
      </c>
      <c r="Z35" s="580">
        <v>10</v>
      </c>
      <c r="AA35" s="581">
        <v>239</v>
      </c>
      <c r="AB35" s="581">
        <v>6</v>
      </c>
      <c r="AC35" s="581">
        <f>SUM(Z35:AB35)</f>
        <v>255</v>
      </c>
      <c r="AD35" s="582">
        <f t="shared" ref="AD35" si="26">IF(X35&gt;0,(AC35-X35)/X35,(IF(AC35=0,"N/A",100%)))</f>
        <v>6.6945606694560664E-2</v>
      </c>
      <c r="AE35" s="328"/>
      <c r="AF35" s="328"/>
      <c r="AG35" s="328"/>
    </row>
    <row r="36" spans="1:254" x14ac:dyDescent="0.25">
      <c r="A36" s="1102" t="s">
        <v>417</v>
      </c>
      <c r="B36" s="1155"/>
      <c r="C36" s="1155"/>
      <c r="D36" s="1155"/>
      <c r="E36" s="518"/>
      <c r="F36" s="1114"/>
      <c r="G36" s="1114"/>
      <c r="H36" s="1114"/>
      <c r="I36" s="1114"/>
      <c r="J36" s="518"/>
      <c r="K36" s="605"/>
      <c r="L36" s="578"/>
      <c r="M36" s="578"/>
      <c r="N36" s="578"/>
      <c r="O36" s="518"/>
      <c r="P36" s="1284"/>
      <c r="Q36" s="1248"/>
      <c r="R36" s="1248"/>
      <c r="S36" s="1248"/>
      <c r="T36" s="607"/>
      <c r="U36" s="605"/>
      <c r="V36" s="578"/>
      <c r="W36" s="578"/>
      <c r="X36" s="578"/>
      <c r="Y36" s="518"/>
      <c r="Z36" s="605"/>
      <c r="AA36" s="578"/>
      <c r="AB36" s="578"/>
      <c r="AC36" s="578"/>
      <c r="AD36" s="518"/>
      <c r="AE36" s="328"/>
      <c r="AF36" s="328"/>
      <c r="AG36" s="328"/>
    </row>
    <row r="37" spans="1:254" x14ac:dyDescent="0.25">
      <c r="A37" s="1103" t="s">
        <v>959</v>
      </c>
      <c r="B37" s="1153">
        <v>0</v>
      </c>
      <c r="C37" s="1153">
        <v>75</v>
      </c>
      <c r="D37" s="1153">
        <v>0</v>
      </c>
      <c r="E37" s="375">
        <f>SUM(B37:D37)</f>
        <v>75</v>
      </c>
      <c r="F37" s="1157">
        <v>0</v>
      </c>
      <c r="G37" s="1153">
        <v>104</v>
      </c>
      <c r="H37" s="1153">
        <v>0</v>
      </c>
      <c r="I37" s="1112">
        <f>SUM(F37:H37)</f>
        <v>104</v>
      </c>
      <c r="J37" s="582">
        <f>IF(E37&gt;0,(I37-E37)/E37,(IF(I37=0,"N/A",100%)))</f>
        <v>0.38666666666666666</v>
      </c>
      <c r="K37" s="580">
        <v>24</v>
      </c>
      <c r="L37" s="581">
        <v>114</v>
      </c>
      <c r="M37" s="581">
        <v>0</v>
      </c>
      <c r="N37" s="581">
        <f>SUM(K37:M37)</f>
        <v>138</v>
      </c>
      <c r="O37" s="582">
        <f>IF(I37&gt;0,(N37-I37)/I37,(IF(N37=0,"N/A",100%)))</f>
        <v>0.32692307692307693</v>
      </c>
      <c r="P37" s="1271">
        <v>15</v>
      </c>
      <c r="Q37" s="1271">
        <v>107</v>
      </c>
      <c r="R37" s="1271">
        <v>0</v>
      </c>
      <c r="S37" s="1271">
        <f>SUM(P37:R37)</f>
        <v>122</v>
      </c>
      <c r="T37" s="616">
        <f>IF(N37&gt;0,(S37-N37)/N37,(IF(S37=0,"N/A",100%)))</f>
        <v>-0.11594202898550725</v>
      </c>
      <c r="U37" s="580">
        <v>24</v>
      </c>
      <c r="V37" s="581">
        <v>156</v>
      </c>
      <c r="W37" s="581">
        <v>0</v>
      </c>
      <c r="X37" s="581">
        <f>SUM(U37:W37)</f>
        <v>180</v>
      </c>
      <c r="Y37" s="582">
        <f t="shared" si="21"/>
        <v>0.47540983606557374</v>
      </c>
      <c r="Z37" s="580">
        <v>12</v>
      </c>
      <c r="AA37" s="581">
        <v>164</v>
      </c>
      <c r="AB37" s="581">
        <v>0</v>
      </c>
      <c r="AC37" s="581">
        <f>SUM(Z37:AB37)</f>
        <v>176</v>
      </c>
      <c r="AD37" s="582">
        <f t="shared" ref="AD37:AD38" si="27">IF(X37&gt;0,(AC37-X37)/X37,(IF(AC37=0,"N/A",100%)))</f>
        <v>-2.2222222222222223E-2</v>
      </c>
      <c r="AE37" s="328"/>
      <c r="AF37" s="328"/>
      <c r="AG37" s="328"/>
    </row>
    <row r="38" spans="1:254" s="596" customFormat="1" ht="16.2" thickBot="1" x14ac:dyDescent="0.35">
      <c r="A38" s="1106" t="s">
        <v>418</v>
      </c>
      <c r="B38" s="1143">
        <f t="shared" ref="B38:I38" si="28">B37+B35+B33</f>
        <v>209</v>
      </c>
      <c r="C38" s="1143">
        <f t="shared" si="28"/>
        <v>465</v>
      </c>
      <c r="D38" s="1143">
        <f t="shared" si="28"/>
        <v>687</v>
      </c>
      <c r="E38" s="1142">
        <f>E37+E35+E33</f>
        <v>1361</v>
      </c>
      <c r="F38" s="1143">
        <f t="shared" si="28"/>
        <v>205</v>
      </c>
      <c r="G38" s="1143">
        <f t="shared" si="28"/>
        <v>393</v>
      </c>
      <c r="H38" s="1143">
        <f t="shared" si="28"/>
        <v>594</v>
      </c>
      <c r="I38" s="1143">
        <f t="shared" si="28"/>
        <v>1192</v>
      </c>
      <c r="J38" s="1139">
        <f>IF(E38&gt;0,(I38-E38)/E38,(IF(I38=0,"N/A",100%)))</f>
        <v>-0.12417340191036003</v>
      </c>
      <c r="K38" s="1141">
        <f t="shared" ref="K38:S38" si="29">K37+K35+K33</f>
        <v>186</v>
      </c>
      <c r="L38" s="1123">
        <f t="shared" si="29"/>
        <v>518</v>
      </c>
      <c r="M38" s="1123">
        <f t="shared" si="29"/>
        <v>945</v>
      </c>
      <c r="N38" s="1123">
        <f t="shared" si="29"/>
        <v>1649</v>
      </c>
      <c r="O38" s="1124">
        <f>IF(I38&gt;0,(N38-I38)/I38,(IF(N38=0,"N/A",100%)))</f>
        <v>0.38338926174496646</v>
      </c>
      <c r="P38" s="1275">
        <f t="shared" si="29"/>
        <v>209</v>
      </c>
      <c r="Q38" s="1275">
        <f t="shared" si="29"/>
        <v>415</v>
      </c>
      <c r="R38" s="1275">
        <f t="shared" si="29"/>
        <v>732</v>
      </c>
      <c r="S38" s="1275">
        <f t="shared" si="29"/>
        <v>1356</v>
      </c>
      <c r="T38" s="1276">
        <f>IF(N38&gt;0,(S38-N38)/N38,(IF(S38=0,"N/A",100%)))</f>
        <v>-0.17768344451182536</v>
      </c>
      <c r="U38" s="1141">
        <f>U37+U35+U33</f>
        <v>238</v>
      </c>
      <c r="V38" s="1123">
        <f>V37+V35+V33</f>
        <v>595</v>
      </c>
      <c r="W38" s="1123">
        <f>W37+W35+W33</f>
        <v>828</v>
      </c>
      <c r="X38" s="1123">
        <f>X37+X35+X33</f>
        <v>1661</v>
      </c>
      <c r="Y38" s="1124">
        <f t="shared" si="21"/>
        <v>0.22492625368731564</v>
      </c>
      <c r="Z38" s="1141">
        <f>Z37+Z35+Z33</f>
        <v>22</v>
      </c>
      <c r="AA38" s="1123">
        <f>AA37+AA35+AA33</f>
        <v>710</v>
      </c>
      <c r="AB38" s="1123">
        <f>AB37+AB35+AB33</f>
        <v>690</v>
      </c>
      <c r="AC38" s="1123">
        <f>AC37+AC35+AC33</f>
        <v>1422</v>
      </c>
      <c r="AD38" s="1124">
        <f t="shared" si="27"/>
        <v>-0.14388922335942203</v>
      </c>
    </row>
    <row r="39" spans="1:254" ht="14.25" customHeight="1" x14ac:dyDescent="0.25">
      <c r="A39" s="604"/>
      <c r="B39" s="604"/>
      <c r="C39" s="604"/>
      <c r="D39" s="604"/>
      <c r="E39" s="604"/>
      <c r="F39" s="604"/>
      <c r="G39" s="604"/>
      <c r="H39" s="604"/>
      <c r="I39" s="604"/>
      <c r="J39" s="604"/>
      <c r="K39" s="335"/>
      <c r="L39" s="335"/>
      <c r="M39" s="335"/>
      <c r="N39" s="335"/>
      <c r="O39" s="335"/>
      <c r="P39" s="328"/>
      <c r="Q39" s="328"/>
      <c r="R39" s="328"/>
      <c r="S39" s="328"/>
      <c r="T39" s="328"/>
      <c r="U39" s="328"/>
      <c r="V39" s="328"/>
      <c r="W39" s="328"/>
      <c r="X39" s="328"/>
      <c r="Y39" s="328"/>
      <c r="Z39" s="328"/>
      <c r="AA39" s="328"/>
      <c r="AB39" s="328"/>
      <c r="AC39" s="328"/>
      <c r="AD39" s="328"/>
      <c r="AE39" s="328"/>
      <c r="AF39" s="328"/>
      <c r="AG39" s="328"/>
    </row>
    <row r="40" spans="1:254" ht="14.25" customHeight="1" thickBot="1" x14ac:dyDescent="0.3">
      <c r="A40" s="604"/>
      <c r="B40" s="604"/>
      <c r="C40" s="604"/>
      <c r="D40" s="604"/>
      <c r="E40" s="604"/>
      <c r="F40" s="604"/>
      <c r="G40" s="604"/>
      <c r="H40" s="604"/>
      <c r="I40" s="604"/>
      <c r="J40" s="604"/>
      <c r="K40" s="335"/>
      <c r="L40" s="335"/>
      <c r="M40" s="335"/>
      <c r="N40" s="335"/>
      <c r="O40" s="335"/>
      <c r="P40" s="328"/>
      <c r="Q40" s="328"/>
      <c r="R40" s="328"/>
      <c r="S40" s="328"/>
      <c r="T40" s="328"/>
      <c r="U40" s="328"/>
      <c r="V40" s="328"/>
      <c r="W40" s="328"/>
      <c r="X40" s="328"/>
      <c r="Y40" s="328"/>
      <c r="Z40" s="328"/>
      <c r="AA40" s="328"/>
      <c r="AB40" s="328"/>
      <c r="AC40" s="328"/>
      <c r="AD40" s="328"/>
      <c r="AE40" s="328"/>
      <c r="AF40" s="328"/>
      <c r="AG40" s="328"/>
    </row>
    <row r="41" spans="1:254" customFormat="1" ht="18" thickBot="1" x14ac:dyDescent="0.35">
      <c r="A41" s="1718" t="s">
        <v>407</v>
      </c>
      <c r="B41" s="1719"/>
      <c r="C41" s="1719"/>
      <c r="D41" s="1719"/>
      <c r="E41" s="1719"/>
      <c r="F41" s="1719"/>
      <c r="G41" s="1719"/>
      <c r="H41" s="1719"/>
      <c r="I41" s="1719"/>
      <c r="J41" s="1719"/>
      <c r="K41" s="1719"/>
      <c r="L41" s="1719"/>
      <c r="M41" s="1719"/>
      <c r="N41" s="1719"/>
      <c r="O41" s="1719"/>
      <c r="P41" s="1719"/>
      <c r="Q41" s="1719"/>
      <c r="R41" s="1719"/>
      <c r="S41" s="1719"/>
      <c r="T41" s="1719"/>
      <c r="U41" s="1719"/>
      <c r="V41" s="1719"/>
      <c r="W41" s="1719"/>
      <c r="X41" s="1719"/>
      <c r="Y41" s="1719"/>
      <c r="Z41" s="1719"/>
      <c r="AA41" s="1719"/>
      <c r="AB41" s="1719"/>
      <c r="AC41" s="1719"/>
      <c r="AD41" s="1720"/>
    </row>
    <row r="42" spans="1:254" ht="26.4" x14ac:dyDescent="0.25">
      <c r="A42" s="1746" t="s">
        <v>952</v>
      </c>
      <c r="B42" s="1480" t="s">
        <v>954</v>
      </c>
      <c r="C42" s="1480" t="s">
        <v>955</v>
      </c>
      <c r="D42" s="1480" t="s">
        <v>956</v>
      </c>
      <c r="E42" s="820" t="s">
        <v>957</v>
      </c>
      <c r="F42" s="148" t="s">
        <v>954</v>
      </c>
      <c r="G42" s="1480" t="s">
        <v>955</v>
      </c>
      <c r="H42" s="1480" t="s">
        <v>956</v>
      </c>
      <c r="I42" s="1481" t="s">
        <v>957</v>
      </c>
      <c r="J42" s="729" t="s">
        <v>958</v>
      </c>
      <c r="K42" s="148" t="s">
        <v>954</v>
      </c>
      <c r="L42" s="1480" t="s">
        <v>955</v>
      </c>
      <c r="M42" s="1480" t="s">
        <v>956</v>
      </c>
      <c r="N42" s="1481" t="s">
        <v>957</v>
      </c>
      <c r="O42" s="729" t="s">
        <v>958</v>
      </c>
      <c r="P42" s="1349" t="s">
        <v>954</v>
      </c>
      <c r="Q42" s="1349" t="s">
        <v>955</v>
      </c>
      <c r="R42" s="1349" t="s">
        <v>956</v>
      </c>
      <c r="S42" s="1263" t="s">
        <v>957</v>
      </c>
      <c r="T42" s="750" t="s">
        <v>958</v>
      </c>
      <c r="U42" s="148" t="s">
        <v>954</v>
      </c>
      <c r="V42" s="1480" t="s">
        <v>955</v>
      </c>
      <c r="W42" s="1480" t="s">
        <v>956</v>
      </c>
      <c r="X42" s="1481" t="s">
        <v>957</v>
      </c>
      <c r="Y42" s="729" t="s">
        <v>958</v>
      </c>
      <c r="Z42" s="148" t="s">
        <v>954</v>
      </c>
      <c r="AA42" s="1480" t="s">
        <v>955</v>
      </c>
      <c r="AB42" s="1480" t="s">
        <v>956</v>
      </c>
      <c r="AC42" s="1481" t="s">
        <v>957</v>
      </c>
      <c r="AD42" s="729" t="s">
        <v>958</v>
      </c>
      <c r="AE42" s="328"/>
      <c r="AF42" s="328"/>
      <c r="AG42" s="328"/>
    </row>
    <row r="43" spans="1:254" ht="12.75" customHeight="1" x14ac:dyDescent="0.25">
      <c r="A43" s="1747"/>
      <c r="B43" s="1742" t="s">
        <v>1407</v>
      </c>
      <c r="C43" s="1742"/>
      <c r="D43" s="1742"/>
      <c r="E43" s="1743"/>
      <c r="F43" s="1741" t="s">
        <v>1408</v>
      </c>
      <c r="G43" s="1742"/>
      <c r="H43" s="1742"/>
      <c r="I43" s="1742"/>
      <c r="J43" s="1743"/>
      <c r="K43" s="1726" t="s">
        <v>1396</v>
      </c>
      <c r="L43" s="1727"/>
      <c r="M43" s="1727"/>
      <c r="N43" s="1727"/>
      <c r="O43" s="1728"/>
      <c r="P43" s="1727" t="s">
        <v>1397</v>
      </c>
      <c r="Q43" s="1727"/>
      <c r="R43" s="1727"/>
      <c r="S43" s="1727"/>
      <c r="T43" s="1728"/>
      <c r="U43" s="1741" t="s">
        <v>1398</v>
      </c>
      <c r="V43" s="1742"/>
      <c r="W43" s="1742"/>
      <c r="X43" s="1742"/>
      <c r="Y43" s="1743"/>
      <c r="Z43" s="1741" t="s">
        <v>1574</v>
      </c>
      <c r="AA43" s="1742"/>
      <c r="AB43" s="1742"/>
      <c r="AC43" s="1742"/>
      <c r="AD43" s="17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row>
    <row r="44" spans="1:254" s="610" customFormat="1" x14ac:dyDescent="0.25">
      <c r="A44" s="1102" t="s">
        <v>408</v>
      </c>
      <c r="B44" s="1100"/>
      <c r="C44" s="1100"/>
      <c r="D44" s="1100"/>
      <c r="E44" s="1107"/>
      <c r="F44" s="1101"/>
      <c r="G44" s="1100"/>
      <c r="H44" s="1100"/>
      <c r="I44" s="1100"/>
      <c r="J44" s="1107"/>
      <c r="K44" s="605"/>
      <c r="L44" s="578"/>
      <c r="M44" s="578"/>
      <c r="N44" s="578"/>
      <c r="O44" s="518"/>
      <c r="P44" s="1284"/>
      <c r="Q44" s="1248"/>
      <c r="R44" s="1248"/>
      <c r="S44" s="1248"/>
      <c r="T44" s="607"/>
      <c r="U44" s="605"/>
      <c r="V44" s="578"/>
      <c r="W44" s="578"/>
      <c r="X44" s="578"/>
      <c r="Y44" s="518"/>
      <c r="Z44" s="605"/>
      <c r="AA44" s="578"/>
      <c r="AB44" s="578"/>
      <c r="AC44" s="578"/>
      <c r="AD44" s="518"/>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row>
    <row r="45" spans="1:254" x14ac:dyDescent="0.25">
      <c r="A45" s="1103" t="s">
        <v>976</v>
      </c>
      <c r="B45" s="1153">
        <v>63</v>
      </c>
      <c r="C45" s="1153">
        <v>0</v>
      </c>
      <c r="D45" s="1153">
        <v>159</v>
      </c>
      <c r="E45" s="375">
        <f>SUM(B45:D45)</f>
        <v>222</v>
      </c>
      <c r="F45" s="1157">
        <v>48</v>
      </c>
      <c r="G45" s="1153">
        <v>25</v>
      </c>
      <c r="H45" s="1153">
        <v>234</v>
      </c>
      <c r="I45" s="581">
        <f>SUM(F45:H45)</f>
        <v>307</v>
      </c>
      <c r="J45" s="582">
        <f>IF(E45&gt;0,(I45-E45)/E45,(IF(I45=0,"N/A",100%)))</f>
        <v>0.38288288288288286</v>
      </c>
      <c r="K45" s="580">
        <v>33</v>
      </c>
      <c r="L45" s="581">
        <v>3</v>
      </c>
      <c r="M45" s="581">
        <v>123</v>
      </c>
      <c r="N45" s="581">
        <f>SUM(K45:M45)</f>
        <v>159</v>
      </c>
      <c r="O45" s="582">
        <f>IF(I45&gt;0,(N45-I45)/I45,(IF(N45=0,"N/A",100%)))</f>
        <v>-0.48208469055374592</v>
      </c>
      <c r="P45" s="1271">
        <v>15</v>
      </c>
      <c r="Q45" s="1271">
        <v>3</v>
      </c>
      <c r="R45" s="1271">
        <v>186</v>
      </c>
      <c r="S45" s="1271">
        <f>SUM(P45:R45)</f>
        <v>204</v>
      </c>
      <c r="T45" s="616">
        <f>IF(N45&gt;0,(S45-N45)/N45,(IF(S45=0,"N/A",100%)))</f>
        <v>0.28301886792452829</v>
      </c>
      <c r="U45" s="580">
        <v>0</v>
      </c>
      <c r="V45" s="581">
        <v>9</v>
      </c>
      <c r="W45" s="581">
        <v>90</v>
      </c>
      <c r="X45" s="581">
        <f>SUM(U45:W45)</f>
        <v>99</v>
      </c>
      <c r="Y45" s="582">
        <f t="shared" ref="Y45:Y61" si="30">IF(S45&gt;0,(X45-S45)/S45,(IF(X45=0,"N/A",100%)))</f>
        <v>-0.51470588235294112</v>
      </c>
      <c r="Z45" s="580">
        <v>0</v>
      </c>
      <c r="AA45" s="581">
        <v>18</v>
      </c>
      <c r="AB45" s="581">
        <v>120</v>
      </c>
      <c r="AC45" s="581">
        <f>SUM(Z45:AB45)</f>
        <v>138</v>
      </c>
      <c r="AD45" s="582">
        <f t="shared" ref="AD45:AD46" si="31">IF(X45&gt;0,(AC45-X45)/X45,(IF(AC45=0,"N/A",100%)))</f>
        <v>0.39393939393939392</v>
      </c>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row>
    <row r="46" spans="1:254" s="575" customFormat="1" ht="13.8" x14ac:dyDescent="0.25">
      <c r="A46" s="1104" t="s">
        <v>961</v>
      </c>
      <c r="B46" s="586">
        <f t="shared" ref="B46:I46" si="32">+B45</f>
        <v>63</v>
      </c>
      <c r="C46" s="586">
        <f t="shared" si="32"/>
        <v>0</v>
      </c>
      <c r="D46" s="586">
        <f t="shared" si="32"/>
        <v>159</v>
      </c>
      <c r="E46" s="587">
        <f>+E45</f>
        <v>222</v>
      </c>
      <c r="F46" s="586">
        <f t="shared" si="32"/>
        <v>48</v>
      </c>
      <c r="G46" s="586">
        <f t="shared" si="32"/>
        <v>25</v>
      </c>
      <c r="H46" s="586">
        <f t="shared" si="32"/>
        <v>234</v>
      </c>
      <c r="I46" s="586">
        <f t="shared" si="32"/>
        <v>307</v>
      </c>
      <c r="J46" s="588">
        <f>IF(E46&gt;0,(I46-E46)/E46,(IF(I46=0,"N/A",100%)))</f>
        <v>0.38288288288288286</v>
      </c>
      <c r="K46" s="585">
        <f t="shared" ref="K46:S46" si="33">+K45</f>
        <v>33</v>
      </c>
      <c r="L46" s="586">
        <f t="shared" si="33"/>
        <v>3</v>
      </c>
      <c r="M46" s="586">
        <f t="shared" si="33"/>
        <v>123</v>
      </c>
      <c r="N46" s="586">
        <f t="shared" si="33"/>
        <v>159</v>
      </c>
      <c r="O46" s="588">
        <f>IF(I46&gt;0,(N46-I46)/I46,(IF(N46=0,"N/A",100%)))</f>
        <v>-0.48208469055374592</v>
      </c>
      <c r="P46" s="1273">
        <f t="shared" si="33"/>
        <v>15</v>
      </c>
      <c r="Q46" s="1273">
        <f t="shared" si="33"/>
        <v>3</v>
      </c>
      <c r="R46" s="1273">
        <f t="shared" si="33"/>
        <v>186</v>
      </c>
      <c r="S46" s="1273">
        <f t="shared" si="33"/>
        <v>204</v>
      </c>
      <c r="T46" s="668">
        <f>IF(N46&gt;0,(S46-N46)/N46,(IF(S46=0,"N/A",100%)))</f>
        <v>0.28301886792452829</v>
      </c>
      <c r="U46" s="585">
        <f>+U45</f>
        <v>0</v>
      </c>
      <c r="V46" s="586">
        <f>+V45</f>
        <v>9</v>
      </c>
      <c r="W46" s="586">
        <f>+W45</f>
        <v>90</v>
      </c>
      <c r="X46" s="586">
        <f>+X45</f>
        <v>99</v>
      </c>
      <c r="Y46" s="588">
        <f t="shared" si="30"/>
        <v>-0.51470588235294112</v>
      </c>
      <c r="Z46" s="585">
        <f>+Z45</f>
        <v>0</v>
      </c>
      <c r="AA46" s="586">
        <f>+AA45</f>
        <v>18</v>
      </c>
      <c r="AB46" s="586">
        <f>+AB45</f>
        <v>120</v>
      </c>
      <c r="AC46" s="586">
        <f>+AC45</f>
        <v>138</v>
      </c>
      <c r="AD46" s="588">
        <f t="shared" si="31"/>
        <v>0.39393939393939392</v>
      </c>
    </row>
    <row r="47" spans="1:254" x14ac:dyDescent="0.25">
      <c r="A47" s="1102" t="s">
        <v>411</v>
      </c>
      <c r="B47" s="1100"/>
      <c r="C47" s="1100"/>
      <c r="D47" s="1100"/>
      <c r="E47" s="518"/>
      <c r="F47" s="1101"/>
      <c r="G47" s="1100"/>
      <c r="H47" s="1100"/>
      <c r="I47" s="578"/>
      <c r="J47" s="518"/>
      <c r="K47" s="605"/>
      <c r="L47" s="578"/>
      <c r="M47" s="578"/>
      <c r="N47" s="578"/>
      <c r="O47" s="518"/>
      <c r="P47" s="1284"/>
      <c r="Q47" s="1248"/>
      <c r="R47" s="1248"/>
      <c r="S47" s="1248"/>
      <c r="T47" s="607"/>
      <c r="U47" s="605"/>
      <c r="V47" s="578"/>
      <c r="W47" s="578"/>
      <c r="X47" s="578"/>
      <c r="Y47" s="518"/>
      <c r="Z47" s="605"/>
      <c r="AA47" s="578"/>
      <c r="AB47" s="578"/>
      <c r="AC47" s="578"/>
      <c r="AD47" s="518"/>
      <c r="AE47" s="328"/>
      <c r="AF47" s="328"/>
      <c r="AG47" s="328"/>
    </row>
    <row r="48" spans="1:254" x14ac:dyDescent="0.25">
      <c r="A48" s="1105" t="s">
        <v>1014</v>
      </c>
      <c r="B48" s="1111">
        <v>0</v>
      </c>
      <c r="C48" s="1111">
        <v>0</v>
      </c>
      <c r="D48" s="1111">
        <v>0</v>
      </c>
      <c r="E48" s="375">
        <f t="shared" ref="E48:E53" si="34">SUM(B48:D48)</f>
        <v>0</v>
      </c>
      <c r="F48" s="1157">
        <v>0</v>
      </c>
      <c r="G48" s="1153">
        <v>0</v>
      </c>
      <c r="H48" s="1153">
        <v>0</v>
      </c>
      <c r="I48" s="581">
        <f t="shared" ref="I48:I53" si="35">SUM(F48:H48)</f>
        <v>0</v>
      </c>
      <c r="J48" s="582" t="str">
        <f t="shared" ref="J48:J54" si="36">IF(E48&gt;0,(I48-E48)/E48,(IF(I48=0,"N/A",100%)))</f>
        <v>N/A</v>
      </c>
      <c r="K48" s="580">
        <v>0</v>
      </c>
      <c r="L48" s="581">
        <v>0</v>
      </c>
      <c r="M48" s="581">
        <v>0</v>
      </c>
      <c r="N48" s="581">
        <f t="shared" ref="N48:N53" si="37">SUM(K48:M48)</f>
        <v>0</v>
      </c>
      <c r="O48" s="582" t="str">
        <f t="shared" ref="O48:O54" si="38">IF(I48&gt;0,(N48-I48)/I48,(IF(N48=0,"N/A",100%)))</f>
        <v>N/A</v>
      </c>
      <c r="P48" s="1271">
        <v>0</v>
      </c>
      <c r="Q48" s="1271">
        <v>0</v>
      </c>
      <c r="R48" s="1271">
        <v>0</v>
      </c>
      <c r="S48" s="1271">
        <f>SUM(P48:R48)</f>
        <v>0</v>
      </c>
      <c r="T48" s="616" t="str">
        <f t="shared" ref="T48:T54" si="39">IF(N48&gt;0,(S48-N48)/N48,(IF(S48=0,"N/A",100%)))</f>
        <v>N/A</v>
      </c>
      <c r="U48" s="580">
        <v>0</v>
      </c>
      <c r="V48" s="581">
        <v>0</v>
      </c>
      <c r="W48" s="581">
        <v>0</v>
      </c>
      <c r="X48" s="581">
        <f t="shared" ref="X48:X53" si="40">SUM(U48:W48)</f>
        <v>0</v>
      </c>
      <c r="Y48" s="582" t="str">
        <f t="shared" si="30"/>
        <v>N/A</v>
      </c>
      <c r="Z48" s="580">
        <v>0</v>
      </c>
      <c r="AA48" s="581">
        <v>0</v>
      </c>
      <c r="AB48" s="581">
        <v>0</v>
      </c>
      <c r="AC48" s="581">
        <f t="shared" ref="AC48:AC53" si="41">SUM(Z48:AB48)</f>
        <v>0</v>
      </c>
      <c r="AD48" s="582" t="str">
        <f t="shared" ref="AD48:AD50" si="42">IF(X48&gt;0,(AC48-X48)/X48,(IF(AC48=0,"N/A",100%)))</f>
        <v>N/A</v>
      </c>
      <c r="AE48" s="328"/>
      <c r="AF48" s="328"/>
      <c r="AG48" s="328"/>
    </row>
    <row r="49" spans="1:33" x14ac:dyDescent="0.25">
      <c r="A49" s="1103" t="s">
        <v>978</v>
      </c>
      <c r="B49" s="1153">
        <v>21</v>
      </c>
      <c r="C49" s="1153">
        <v>30</v>
      </c>
      <c r="D49" s="1153">
        <v>0</v>
      </c>
      <c r="E49" s="375">
        <f t="shared" si="34"/>
        <v>51</v>
      </c>
      <c r="F49" s="1157">
        <v>9</v>
      </c>
      <c r="G49" s="1153">
        <v>24</v>
      </c>
      <c r="H49" s="1153">
        <v>0</v>
      </c>
      <c r="I49" s="581">
        <f t="shared" si="35"/>
        <v>33</v>
      </c>
      <c r="J49" s="582">
        <f t="shared" si="36"/>
        <v>-0.35294117647058826</v>
      </c>
      <c r="K49" s="580">
        <v>21</v>
      </c>
      <c r="L49" s="581">
        <v>30</v>
      </c>
      <c r="M49" s="581">
        <v>0</v>
      </c>
      <c r="N49" s="581">
        <f t="shared" si="37"/>
        <v>51</v>
      </c>
      <c r="O49" s="582">
        <f t="shared" si="38"/>
        <v>0.54545454545454541</v>
      </c>
      <c r="P49" s="1271">
        <v>0</v>
      </c>
      <c r="Q49" s="1271">
        <v>24</v>
      </c>
      <c r="R49" s="1271">
        <v>0</v>
      </c>
      <c r="S49" s="1271">
        <f>SUM(P49:R49)</f>
        <v>24</v>
      </c>
      <c r="T49" s="616">
        <f t="shared" si="39"/>
        <v>-0.52941176470588236</v>
      </c>
      <c r="U49" s="580">
        <v>21</v>
      </c>
      <c r="V49" s="581">
        <v>15</v>
      </c>
      <c r="W49" s="581">
        <v>0</v>
      </c>
      <c r="X49" s="581">
        <f t="shared" si="40"/>
        <v>36</v>
      </c>
      <c r="Y49" s="582">
        <f t="shared" si="30"/>
        <v>0.5</v>
      </c>
      <c r="Z49" s="580">
        <v>0</v>
      </c>
      <c r="AA49" s="581">
        <v>48</v>
      </c>
      <c r="AB49" s="581">
        <v>0</v>
      </c>
      <c r="AC49" s="581">
        <f t="shared" si="41"/>
        <v>48</v>
      </c>
      <c r="AD49" s="582">
        <f t="shared" si="42"/>
        <v>0.33333333333333331</v>
      </c>
      <c r="AE49" s="328"/>
      <c r="AF49" s="328"/>
      <c r="AG49" s="328"/>
    </row>
    <row r="50" spans="1:33" x14ac:dyDescent="0.25">
      <c r="A50" s="1103" t="s">
        <v>982</v>
      </c>
      <c r="B50" s="1153">
        <v>12</v>
      </c>
      <c r="C50" s="1153">
        <v>108</v>
      </c>
      <c r="D50" s="1153">
        <v>0</v>
      </c>
      <c r="E50" s="375">
        <f t="shared" si="34"/>
        <v>120</v>
      </c>
      <c r="F50" s="1157">
        <v>0</v>
      </c>
      <c r="G50" s="1153">
        <v>36</v>
      </c>
      <c r="H50" s="1153">
        <v>0</v>
      </c>
      <c r="I50" s="581">
        <f t="shared" si="35"/>
        <v>36</v>
      </c>
      <c r="J50" s="582">
        <f t="shared" si="36"/>
        <v>-0.7</v>
      </c>
      <c r="K50" s="580">
        <v>0</v>
      </c>
      <c r="L50" s="581">
        <v>18</v>
      </c>
      <c r="M50" s="581">
        <v>0</v>
      </c>
      <c r="N50" s="581">
        <f t="shared" si="37"/>
        <v>18</v>
      </c>
      <c r="O50" s="582">
        <f>IF(J50&gt;0,(N50-J50)/J50,(IF(N50=0,"N/A",100%)))</f>
        <v>1</v>
      </c>
      <c r="P50" s="1271">
        <v>0</v>
      </c>
      <c r="Q50" s="1271">
        <v>100</v>
      </c>
      <c r="R50" s="1271">
        <v>0</v>
      </c>
      <c r="S50" s="1271">
        <f>SUM(P50:R50)</f>
        <v>100</v>
      </c>
      <c r="T50" s="616">
        <f t="shared" si="39"/>
        <v>4.5555555555555554</v>
      </c>
      <c r="U50" s="580">
        <v>3</v>
      </c>
      <c r="V50" s="581">
        <v>67</v>
      </c>
      <c r="W50" s="581">
        <v>0</v>
      </c>
      <c r="X50" s="581">
        <f t="shared" si="40"/>
        <v>70</v>
      </c>
      <c r="Y50" s="582">
        <f t="shared" si="30"/>
        <v>-0.3</v>
      </c>
      <c r="Z50" s="580">
        <v>0</v>
      </c>
      <c r="AA50" s="581">
        <v>99</v>
      </c>
      <c r="AB50" s="581">
        <v>0</v>
      </c>
      <c r="AC50" s="581">
        <f t="shared" si="41"/>
        <v>99</v>
      </c>
      <c r="AD50" s="582">
        <f t="shared" si="42"/>
        <v>0.41428571428571431</v>
      </c>
      <c r="AE50" s="328"/>
      <c r="AF50" s="328"/>
      <c r="AG50" s="328"/>
    </row>
    <row r="51" spans="1:33" x14ac:dyDescent="0.25">
      <c r="A51" s="1125" t="s">
        <v>981</v>
      </c>
      <c r="B51" s="1153">
        <v>0</v>
      </c>
      <c r="C51" s="1153">
        <v>0</v>
      </c>
      <c r="D51" s="1153">
        <v>0</v>
      </c>
      <c r="E51" s="375">
        <f t="shared" si="34"/>
        <v>0</v>
      </c>
      <c r="F51" s="1157">
        <v>0</v>
      </c>
      <c r="G51" s="1153">
        <v>2</v>
      </c>
      <c r="H51" s="1153">
        <v>0</v>
      </c>
      <c r="I51" s="581">
        <f t="shared" si="35"/>
        <v>2</v>
      </c>
      <c r="J51" s="582">
        <f t="shared" si="36"/>
        <v>1</v>
      </c>
      <c r="K51" s="580">
        <v>0</v>
      </c>
      <c r="L51" s="581">
        <v>0</v>
      </c>
      <c r="M51" s="581">
        <v>0</v>
      </c>
      <c r="N51" s="581">
        <f t="shared" si="37"/>
        <v>0</v>
      </c>
      <c r="O51" s="582">
        <f>IF(J51&gt;0,(N51-J51)/J51,(IF(N51=0,"N/A",100%)))</f>
        <v>-1</v>
      </c>
      <c r="P51" s="1271">
        <v>0</v>
      </c>
      <c r="Q51" s="1271">
        <v>0</v>
      </c>
      <c r="R51" s="1271">
        <v>0</v>
      </c>
      <c r="S51" s="1271">
        <v>0</v>
      </c>
      <c r="T51" s="616" t="str">
        <f t="shared" si="39"/>
        <v>N/A</v>
      </c>
      <c r="U51" s="580">
        <v>0</v>
      </c>
      <c r="V51" s="581">
        <v>4</v>
      </c>
      <c r="W51" s="581">
        <v>0</v>
      </c>
      <c r="X51" s="581">
        <f t="shared" si="40"/>
        <v>4</v>
      </c>
      <c r="Y51" s="582">
        <f>IF(S51&gt;0,(X51-S51)/S51,(IF(X51=0,"N/A",100%)))</f>
        <v>1</v>
      </c>
      <c r="Z51" s="580">
        <v>0</v>
      </c>
      <c r="AA51" s="581">
        <v>0</v>
      </c>
      <c r="AB51" s="581">
        <v>0</v>
      </c>
      <c r="AC51" s="581">
        <f t="shared" si="41"/>
        <v>0</v>
      </c>
      <c r="AD51" s="582">
        <f>IF(X51&gt;0,(AC51-X51)/X51,(IF(AC51=0,"N/A",100%)))</f>
        <v>-1</v>
      </c>
      <c r="AE51" s="328"/>
      <c r="AF51" s="328"/>
      <c r="AG51" s="328"/>
    </row>
    <row r="52" spans="1:33" x14ac:dyDescent="0.25">
      <c r="A52" s="1103" t="s">
        <v>985</v>
      </c>
      <c r="B52" s="1153">
        <v>48</v>
      </c>
      <c r="C52" s="1153">
        <v>0</v>
      </c>
      <c r="D52" s="1153">
        <v>0</v>
      </c>
      <c r="E52" s="375">
        <f t="shared" si="34"/>
        <v>48</v>
      </c>
      <c r="F52" s="1157">
        <v>30</v>
      </c>
      <c r="G52" s="1153">
        <v>0</v>
      </c>
      <c r="H52" s="1153">
        <v>0</v>
      </c>
      <c r="I52" s="581">
        <f t="shared" si="35"/>
        <v>30</v>
      </c>
      <c r="J52" s="582">
        <f t="shared" si="36"/>
        <v>-0.375</v>
      </c>
      <c r="K52" s="580">
        <v>39</v>
      </c>
      <c r="L52" s="581">
        <v>0</v>
      </c>
      <c r="M52" s="581">
        <v>0</v>
      </c>
      <c r="N52" s="581">
        <f t="shared" si="37"/>
        <v>39</v>
      </c>
      <c r="O52" s="582">
        <f t="shared" si="38"/>
        <v>0.3</v>
      </c>
      <c r="P52" s="1271">
        <v>51</v>
      </c>
      <c r="Q52" s="1271">
        <v>0</v>
      </c>
      <c r="R52" s="1271">
        <v>0</v>
      </c>
      <c r="S52" s="1271">
        <f>SUM(P52:R52)</f>
        <v>51</v>
      </c>
      <c r="T52" s="616">
        <f t="shared" si="39"/>
        <v>0.30769230769230771</v>
      </c>
      <c r="U52" s="580">
        <v>21</v>
      </c>
      <c r="V52" s="581">
        <v>0</v>
      </c>
      <c r="W52" s="581">
        <v>0</v>
      </c>
      <c r="X52" s="581">
        <f t="shared" si="40"/>
        <v>21</v>
      </c>
      <c r="Y52" s="582">
        <f t="shared" si="30"/>
        <v>-0.58823529411764708</v>
      </c>
      <c r="Z52" s="580">
        <v>33</v>
      </c>
      <c r="AA52" s="581">
        <v>0</v>
      </c>
      <c r="AB52" s="581">
        <v>0</v>
      </c>
      <c r="AC52" s="581">
        <f t="shared" si="41"/>
        <v>33</v>
      </c>
      <c r="AD52" s="582">
        <f t="shared" ref="AD52:AD54" si="43">IF(X52&gt;0,(AC52-X52)/X52,(IF(AC52=0,"N/A",100%)))</f>
        <v>0.5714285714285714</v>
      </c>
      <c r="AE52" s="328"/>
      <c r="AF52" s="328"/>
      <c r="AG52" s="328"/>
    </row>
    <row r="53" spans="1:33" x14ac:dyDescent="0.25">
      <c r="A53" s="1125" t="s">
        <v>986</v>
      </c>
      <c r="B53" s="1160">
        <v>8</v>
      </c>
      <c r="C53" s="1160">
        <v>0</v>
      </c>
      <c r="D53" s="1160">
        <v>0</v>
      </c>
      <c r="E53" s="375">
        <f t="shared" si="34"/>
        <v>8</v>
      </c>
      <c r="F53" s="1157">
        <v>0</v>
      </c>
      <c r="G53" s="1153">
        <v>33</v>
      </c>
      <c r="H53" s="1153">
        <v>0</v>
      </c>
      <c r="I53" s="581">
        <f t="shared" si="35"/>
        <v>33</v>
      </c>
      <c r="J53" s="582">
        <f t="shared" si="36"/>
        <v>3.125</v>
      </c>
      <c r="K53" s="580">
        <v>0</v>
      </c>
      <c r="L53" s="581">
        <v>0</v>
      </c>
      <c r="M53" s="581">
        <v>0</v>
      </c>
      <c r="N53" s="581">
        <f t="shared" si="37"/>
        <v>0</v>
      </c>
      <c r="O53" s="582">
        <f t="shared" si="38"/>
        <v>-1</v>
      </c>
      <c r="P53" s="1271">
        <v>0</v>
      </c>
      <c r="Q53" s="1271">
        <v>12</v>
      </c>
      <c r="R53" s="1271">
        <v>0</v>
      </c>
      <c r="S53" s="1271">
        <f>SUM(P53:R53)</f>
        <v>12</v>
      </c>
      <c r="T53" s="616">
        <f t="shared" si="39"/>
        <v>1</v>
      </c>
      <c r="U53" s="580">
        <v>0</v>
      </c>
      <c r="V53" s="581">
        <v>6</v>
      </c>
      <c r="W53" s="581">
        <v>0</v>
      </c>
      <c r="X53" s="581">
        <f t="shared" si="40"/>
        <v>6</v>
      </c>
      <c r="Y53" s="582">
        <f t="shared" si="30"/>
        <v>-0.5</v>
      </c>
      <c r="Z53" s="580">
        <v>0</v>
      </c>
      <c r="AA53" s="581">
        <v>18</v>
      </c>
      <c r="AB53" s="581">
        <v>0</v>
      </c>
      <c r="AC53" s="581">
        <f t="shared" si="41"/>
        <v>18</v>
      </c>
      <c r="AD53" s="582">
        <f t="shared" si="43"/>
        <v>2</v>
      </c>
      <c r="AE53" s="328"/>
      <c r="AF53" s="328"/>
      <c r="AG53" s="328"/>
    </row>
    <row r="54" spans="1:33" s="575" customFormat="1" ht="13.8" x14ac:dyDescent="0.25">
      <c r="A54" s="1104" t="s">
        <v>961</v>
      </c>
      <c r="B54" s="586">
        <f>SUM(B48:B53)</f>
        <v>89</v>
      </c>
      <c r="C54" s="586">
        <f t="shared" ref="C54:H54" si="44">SUM(C48:C53)</f>
        <v>138</v>
      </c>
      <c r="D54" s="586">
        <f t="shared" si="44"/>
        <v>0</v>
      </c>
      <c r="E54" s="587">
        <f t="shared" si="44"/>
        <v>227</v>
      </c>
      <c r="F54" s="1219">
        <f t="shared" si="44"/>
        <v>39</v>
      </c>
      <c r="G54" s="585">
        <f t="shared" si="44"/>
        <v>95</v>
      </c>
      <c r="H54" s="585">
        <f t="shared" si="44"/>
        <v>0</v>
      </c>
      <c r="I54" s="585">
        <f>SUM(I48:I53)</f>
        <v>134</v>
      </c>
      <c r="J54" s="588">
        <f t="shared" si="36"/>
        <v>-0.40969162995594716</v>
      </c>
      <c r="K54" s="585">
        <f t="shared" ref="K54:S54" si="45">SUM(K48:K53)</f>
        <v>60</v>
      </c>
      <c r="L54" s="586">
        <f t="shared" si="45"/>
        <v>48</v>
      </c>
      <c r="M54" s="586">
        <f t="shared" si="45"/>
        <v>0</v>
      </c>
      <c r="N54" s="586">
        <f t="shared" si="45"/>
        <v>108</v>
      </c>
      <c r="O54" s="588">
        <f t="shared" si="38"/>
        <v>-0.19402985074626866</v>
      </c>
      <c r="P54" s="1273">
        <f t="shared" si="45"/>
        <v>51</v>
      </c>
      <c r="Q54" s="1273">
        <f t="shared" si="45"/>
        <v>136</v>
      </c>
      <c r="R54" s="1273">
        <f t="shared" si="45"/>
        <v>0</v>
      </c>
      <c r="S54" s="1273">
        <f t="shared" si="45"/>
        <v>187</v>
      </c>
      <c r="T54" s="668">
        <f t="shared" si="39"/>
        <v>0.73148148148148151</v>
      </c>
      <c r="U54" s="585">
        <f>SUM(U48:U53)</f>
        <v>45</v>
      </c>
      <c r="V54" s="586">
        <f>SUM(V48:V53)</f>
        <v>92</v>
      </c>
      <c r="W54" s="586">
        <f>SUM(W48:W53)</f>
        <v>0</v>
      </c>
      <c r="X54" s="586">
        <f>SUM(X48:X53)</f>
        <v>137</v>
      </c>
      <c r="Y54" s="588">
        <f t="shared" si="30"/>
        <v>-0.26737967914438504</v>
      </c>
      <c r="Z54" s="585">
        <f>SUM(Z48:Z53)</f>
        <v>33</v>
      </c>
      <c r="AA54" s="586">
        <f>SUM(AA48:AA53)</f>
        <v>165</v>
      </c>
      <c r="AB54" s="586">
        <f>SUM(AB48:AB53)</f>
        <v>0</v>
      </c>
      <c r="AC54" s="586">
        <f>SUM(AC48:AC53)</f>
        <v>198</v>
      </c>
      <c r="AD54" s="588">
        <f t="shared" si="43"/>
        <v>0.44525547445255476</v>
      </c>
    </row>
    <row r="55" spans="1:33" x14ac:dyDescent="0.25">
      <c r="A55" s="1119" t="s">
        <v>413</v>
      </c>
      <c r="B55" s="1483"/>
      <c r="C55" s="1100"/>
      <c r="D55" s="1100"/>
      <c r="E55" s="518"/>
      <c r="F55" s="1101"/>
      <c r="G55" s="1100"/>
      <c r="H55" s="1100"/>
      <c r="I55" s="578"/>
      <c r="J55" s="518"/>
      <c r="K55" s="605"/>
      <c r="L55" s="578"/>
      <c r="M55" s="578"/>
      <c r="N55" s="578"/>
      <c r="O55" s="518"/>
      <c r="P55" s="1284"/>
      <c r="Q55" s="1248"/>
      <c r="R55" s="1248"/>
      <c r="S55" s="1248"/>
      <c r="T55" s="607"/>
      <c r="U55" s="605"/>
      <c r="V55" s="578"/>
      <c r="W55" s="578"/>
      <c r="X55" s="578"/>
      <c r="Y55" s="518"/>
      <c r="Z55" s="605"/>
      <c r="AA55" s="578"/>
      <c r="AB55" s="578"/>
      <c r="AC55" s="578"/>
      <c r="AD55" s="518"/>
      <c r="AE55" s="328"/>
      <c r="AF55" s="328"/>
      <c r="AG55" s="328"/>
    </row>
    <row r="56" spans="1:33" x14ac:dyDescent="0.25">
      <c r="A56" s="1121" t="s">
        <v>983</v>
      </c>
      <c r="B56" s="1484">
        <v>0</v>
      </c>
      <c r="C56" s="1153">
        <v>1</v>
      </c>
      <c r="D56" s="1153">
        <v>0</v>
      </c>
      <c r="E56" s="375">
        <f>SUM(B56:D56)</f>
        <v>1</v>
      </c>
      <c r="F56" s="1157">
        <v>1</v>
      </c>
      <c r="G56" s="1153">
        <v>0</v>
      </c>
      <c r="H56" s="1153">
        <v>0</v>
      </c>
      <c r="I56" s="581">
        <f>SUM(F56:H56)</f>
        <v>1</v>
      </c>
      <c r="J56" s="582">
        <f>IF(E56&gt;0,(I56-E56)/E56,(IF(I56=0,"N/A",100%)))</f>
        <v>0</v>
      </c>
      <c r="K56" s="580">
        <v>0</v>
      </c>
      <c r="L56" s="581">
        <v>0</v>
      </c>
      <c r="M56" s="581">
        <v>0</v>
      </c>
      <c r="N56" s="581">
        <f>SUM(K56:M56)</f>
        <v>0</v>
      </c>
      <c r="O56" s="582">
        <f>IF(I56&gt;0,(N56-I56)/I56,(IF(N56=0,"N/A",100%)))</f>
        <v>-1</v>
      </c>
      <c r="P56" s="1271">
        <v>2</v>
      </c>
      <c r="Q56" s="1271">
        <v>1</v>
      </c>
      <c r="R56" s="1271">
        <v>0</v>
      </c>
      <c r="S56" s="1271">
        <f>SUM(P56:R56)</f>
        <v>3</v>
      </c>
      <c r="T56" s="616">
        <f>IF(N56&gt;0,(S56-N56)/N56,(IF(S56=0,"N/A",100%)))</f>
        <v>1</v>
      </c>
      <c r="U56" s="580">
        <v>1</v>
      </c>
      <c r="V56" s="581">
        <v>1</v>
      </c>
      <c r="W56" s="581">
        <v>0</v>
      </c>
      <c r="X56" s="581">
        <f>SUM(U56:W56)</f>
        <v>2</v>
      </c>
      <c r="Y56" s="582">
        <f t="shared" si="30"/>
        <v>-0.33333333333333331</v>
      </c>
      <c r="Z56" s="580">
        <v>0</v>
      </c>
      <c r="AA56" s="581">
        <v>0</v>
      </c>
      <c r="AB56" s="581">
        <v>0</v>
      </c>
      <c r="AC56" s="581">
        <f>SUM(Z56:AB56)</f>
        <v>0</v>
      </c>
      <c r="AD56" s="582">
        <f t="shared" ref="AD56:AD61" si="46">IF(X56&gt;0,(AC56-X56)/X56,(IF(AC56=0,"N/A",100%)))</f>
        <v>-1</v>
      </c>
      <c r="AE56" s="328"/>
      <c r="AF56" s="328"/>
      <c r="AG56" s="328"/>
    </row>
    <row r="57" spans="1:33" x14ac:dyDescent="0.25">
      <c r="A57" s="1121" t="s">
        <v>984</v>
      </c>
      <c r="B57" s="1484">
        <v>93</v>
      </c>
      <c r="C57" s="1153">
        <v>6</v>
      </c>
      <c r="D57" s="1153">
        <v>0</v>
      </c>
      <c r="E57" s="375">
        <f>SUM(B57:D57)</f>
        <v>99</v>
      </c>
      <c r="F57" s="1157">
        <v>36</v>
      </c>
      <c r="G57" s="1153">
        <v>0</v>
      </c>
      <c r="H57" s="1153">
        <v>0</v>
      </c>
      <c r="I57" s="581">
        <f>SUM(F57:H57)</f>
        <v>36</v>
      </c>
      <c r="J57" s="582">
        <f>IF(E57&gt;0,(I57-E57)/E57,(IF(I57=0,"N/A",100%)))</f>
        <v>-0.63636363636363635</v>
      </c>
      <c r="K57" s="580">
        <v>45</v>
      </c>
      <c r="L57" s="581">
        <v>0</v>
      </c>
      <c r="M57" s="581">
        <v>0</v>
      </c>
      <c r="N57" s="581">
        <f>SUM(K57:M57)</f>
        <v>45</v>
      </c>
      <c r="O57" s="582">
        <f>IF(I57&gt;0,(N57-I57)/I57,(IF(N57=0,"N/A",100%)))</f>
        <v>0.25</v>
      </c>
      <c r="P57" s="1271">
        <v>18</v>
      </c>
      <c r="Q57" s="1271">
        <v>3</v>
      </c>
      <c r="R57" s="1271">
        <v>0</v>
      </c>
      <c r="S57" s="1271">
        <f>SUM(P57:R57)</f>
        <v>21</v>
      </c>
      <c r="T57" s="616">
        <f>IF(N57&gt;0,(S57-N57)/N57,(IF(S57=0,"N/A",100%)))</f>
        <v>-0.53333333333333333</v>
      </c>
      <c r="U57" s="580">
        <v>3</v>
      </c>
      <c r="V57" s="581">
        <v>2</v>
      </c>
      <c r="W57" s="581">
        <v>0</v>
      </c>
      <c r="X57" s="581">
        <f>SUM(U57:W57)</f>
        <v>5</v>
      </c>
      <c r="Y57" s="582">
        <f t="shared" si="30"/>
        <v>-0.76190476190476186</v>
      </c>
      <c r="Z57" s="580">
        <v>45</v>
      </c>
      <c r="AA57" s="581">
        <v>3</v>
      </c>
      <c r="AB57" s="581">
        <v>0</v>
      </c>
      <c r="AC57" s="581">
        <f>SUM(Z57:AB57)</f>
        <v>48</v>
      </c>
      <c r="AD57" s="582">
        <f t="shared" si="46"/>
        <v>8.6</v>
      </c>
      <c r="AE57" s="328"/>
      <c r="AF57" s="328"/>
      <c r="AG57" s="328"/>
    </row>
    <row r="58" spans="1:33" x14ac:dyDescent="0.25">
      <c r="A58" s="869" t="s">
        <v>1518</v>
      </c>
      <c r="B58" s="1484">
        <v>0</v>
      </c>
      <c r="C58" s="1484">
        <v>0</v>
      </c>
      <c r="D58" s="1484">
        <v>0</v>
      </c>
      <c r="E58" s="375">
        <f t="shared" ref="E58:E60" si="47">SUM(B58:D58)</f>
        <v>0</v>
      </c>
      <c r="F58" s="1157">
        <v>0</v>
      </c>
      <c r="G58" s="1484">
        <v>0</v>
      </c>
      <c r="H58" s="1484">
        <v>0</v>
      </c>
      <c r="I58" s="581">
        <f t="shared" ref="I58:I60" si="48">SUM(F58:H58)</f>
        <v>0</v>
      </c>
      <c r="J58" s="582" t="str">
        <f t="shared" ref="J58:J60" si="49">IF(E58&gt;0,(I58-E58)/E58,(IF(I58=0,"N/A",100%)))</f>
        <v>N/A</v>
      </c>
      <c r="K58" s="580">
        <v>0</v>
      </c>
      <c r="L58" s="1485">
        <v>0</v>
      </c>
      <c r="M58" s="1485">
        <v>0</v>
      </c>
      <c r="N58" s="581">
        <f t="shared" ref="N58:N60" si="50">SUM(K58:M58)</f>
        <v>0</v>
      </c>
      <c r="O58" s="582" t="str">
        <f t="shared" ref="O58:O60" si="51">IF(I58&gt;0,(N58-I58)/I58,(IF(N58=0,"N/A",100%)))</f>
        <v>N/A</v>
      </c>
      <c r="P58" s="1271">
        <v>0</v>
      </c>
      <c r="Q58" s="1271">
        <v>0</v>
      </c>
      <c r="R58" s="1271">
        <v>0</v>
      </c>
      <c r="S58" s="1271">
        <f t="shared" ref="S58:S60" si="52">SUM(P58:R58)</f>
        <v>0</v>
      </c>
      <c r="T58" s="616" t="str">
        <f t="shared" ref="T58:T60" si="53">IF(N58&gt;0,(S58-N58)/N58,(IF(S58=0,"N/A",100%)))</f>
        <v>N/A</v>
      </c>
      <c r="U58" s="580">
        <v>0</v>
      </c>
      <c r="V58" s="1485">
        <v>0</v>
      </c>
      <c r="W58" s="1485">
        <v>0</v>
      </c>
      <c r="X58" s="581">
        <f t="shared" ref="X58:X60" si="54">SUM(U58:W58)</f>
        <v>0</v>
      </c>
      <c r="Y58" s="582" t="str">
        <f t="shared" ref="Y58:Y60" si="55">IF(S58&gt;0,(X58-S58)/S58,(IF(X58=0,"N/A",100%)))</f>
        <v>N/A</v>
      </c>
      <c r="Z58" s="580">
        <v>0</v>
      </c>
      <c r="AA58" s="1485">
        <v>0</v>
      </c>
      <c r="AB58" s="1485">
        <v>0</v>
      </c>
      <c r="AC58" s="581">
        <f t="shared" ref="AC58:AC60" si="56">SUM(Z58:AB58)</f>
        <v>0</v>
      </c>
      <c r="AD58" s="582" t="str">
        <f t="shared" ref="AD58:AD60" si="57">IF(X58&gt;0,(AC58-X58)/X58,(IF(AC58=0,"N/A",100%)))</f>
        <v>N/A</v>
      </c>
      <c r="AE58" s="328"/>
      <c r="AF58" s="328"/>
      <c r="AG58" s="328"/>
    </row>
    <row r="59" spans="1:33" x14ac:dyDescent="0.25">
      <c r="A59" s="869" t="s">
        <v>1519</v>
      </c>
      <c r="B59" s="1484">
        <v>0</v>
      </c>
      <c r="C59" s="1484">
        <v>0</v>
      </c>
      <c r="D59" s="1484">
        <v>0</v>
      </c>
      <c r="E59" s="375">
        <f t="shared" si="47"/>
        <v>0</v>
      </c>
      <c r="F59" s="1157">
        <v>0</v>
      </c>
      <c r="G59" s="1484">
        <v>0</v>
      </c>
      <c r="H59" s="1484">
        <v>0</v>
      </c>
      <c r="I59" s="581">
        <f t="shared" si="48"/>
        <v>0</v>
      </c>
      <c r="J59" s="582" t="str">
        <f t="shared" si="49"/>
        <v>N/A</v>
      </c>
      <c r="K59" s="580">
        <v>0</v>
      </c>
      <c r="L59" s="1485">
        <v>0</v>
      </c>
      <c r="M59" s="1485">
        <v>0</v>
      </c>
      <c r="N59" s="581">
        <f t="shared" si="50"/>
        <v>0</v>
      </c>
      <c r="O59" s="582" t="str">
        <f t="shared" si="51"/>
        <v>N/A</v>
      </c>
      <c r="P59" s="1271">
        <v>0</v>
      </c>
      <c r="Q59" s="1271">
        <v>0</v>
      </c>
      <c r="R59" s="1271">
        <v>0</v>
      </c>
      <c r="S59" s="1271">
        <f t="shared" si="52"/>
        <v>0</v>
      </c>
      <c r="T59" s="616" t="str">
        <f t="shared" si="53"/>
        <v>N/A</v>
      </c>
      <c r="U59" s="580">
        <v>0</v>
      </c>
      <c r="V59" s="1485">
        <v>0</v>
      </c>
      <c r="W59" s="1485">
        <v>0</v>
      </c>
      <c r="X59" s="581">
        <f t="shared" si="54"/>
        <v>0</v>
      </c>
      <c r="Y59" s="582" t="str">
        <f t="shared" si="55"/>
        <v>N/A</v>
      </c>
      <c r="Z59" s="580">
        <v>0</v>
      </c>
      <c r="AA59" s="1485">
        <v>2</v>
      </c>
      <c r="AB59" s="1485">
        <v>0</v>
      </c>
      <c r="AC59" s="581">
        <f t="shared" si="56"/>
        <v>2</v>
      </c>
      <c r="AD59" s="582">
        <f t="shared" si="57"/>
        <v>1</v>
      </c>
      <c r="AE59" s="328"/>
      <c r="AF59" s="328"/>
      <c r="AG59" s="328"/>
    </row>
    <row r="60" spans="1:33" x14ac:dyDescent="0.25">
      <c r="A60" s="869" t="s">
        <v>1520</v>
      </c>
      <c r="B60" s="1484">
        <v>0</v>
      </c>
      <c r="C60" s="1484">
        <v>0</v>
      </c>
      <c r="D60" s="1484">
        <v>0</v>
      </c>
      <c r="E60" s="375">
        <f t="shared" si="47"/>
        <v>0</v>
      </c>
      <c r="F60" s="1157">
        <v>0</v>
      </c>
      <c r="G60" s="1484">
        <v>0</v>
      </c>
      <c r="H60" s="1484">
        <v>0</v>
      </c>
      <c r="I60" s="581">
        <f t="shared" si="48"/>
        <v>0</v>
      </c>
      <c r="J60" s="582" t="str">
        <f t="shared" si="49"/>
        <v>N/A</v>
      </c>
      <c r="K60" s="580">
        <v>0</v>
      </c>
      <c r="L60" s="1485">
        <v>0</v>
      </c>
      <c r="M60" s="1485">
        <v>0</v>
      </c>
      <c r="N60" s="581">
        <f t="shared" si="50"/>
        <v>0</v>
      </c>
      <c r="O60" s="582" t="str">
        <f t="shared" si="51"/>
        <v>N/A</v>
      </c>
      <c r="P60" s="1271">
        <v>0</v>
      </c>
      <c r="Q60" s="1271">
        <v>0</v>
      </c>
      <c r="R60" s="1271">
        <v>0</v>
      </c>
      <c r="S60" s="1271">
        <f t="shared" si="52"/>
        <v>0</v>
      </c>
      <c r="T60" s="616" t="str">
        <f t="shared" si="53"/>
        <v>N/A</v>
      </c>
      <c r="U60" s="580">
        <v>0</v>
      </c>
      <c r="V60" s="1485">
        <v>0</v>
      </c>
      <c r="W60" s="1485">
        <v>0</v>
      </c>
      <c r="X60" s="581">
        <f t="shared" si="54"/>
        <v>0</v>
      </c>
      <c r="Y60" s="582" t="str">
        <f t="shared" si="55"/>
        <v>N/A</v>
      </c>
      <c r="Z60" s="580">
        <v>0</v>
      </c>
      <c r="AA60" s="1485">
        <v>0</v>
      </c>
      <c r="AB60" s="1485">
        <v>0</v>
      </c>
      <c r="AC60" s="581">
        <f t="shared" si="56"/>
        <v>0</v>
      </c>
      <c r="AD60" s="582" t="str">
        <f t="shared" si="57"/>
        <v>N/A</v>
      </c>
      <c r="AE60" s="328"/>
      <c r="AF60" s="328"/>
      <c r="AG60" s="328"/>
    </row>
    <row r="61" spans="1:33" s="575" customFormat="1" ht="13.8" x14ac:dyDescent="0.25">
      <c r="A61" s="1104" t="s">
        <v>961</v>
      </c>
      <c r="B61" s="586">
        <f t="shared" ref="B61:I61" si="58">SUM(B56:B60)</f>
        <v>93</v>
      </c>
      <c r="C61" s="586">
        <f t="shared" si="58"/>
        <v>7</v>
      </c>
      <c r="D61" s="586">
        <f t="shared" si="58"/>
        <v>0</v>
      </c>
      <c r="E61" s="587">
        <f t="shared" si="58"/>
        <v>100</v>
      </c>
      <c r="F61" s="585">
        <f t="shared" si="58"/>
        <v>37</v>
      </c>
      <c r="G61" s="586">
        <f t="shared" si="58"/>
        <v>0</v>
      </c>
      <c r="H61" s="586">
        <f t="shared" si="58"/>
        <v>0</v>
      </c>
      <c r="I61" s="586">
        <f t="shared" si="58"/>
        <v>37</v>
      </c>
      <c r="J61" s="588">
        <f>IF(E61&gt;0,(I61-E61)/E61,(IF(I61=0,"N/A",100%)))</f>
        <v>-0.63</v>
      </c>
      <c r="K61" s="586">
        <f>SUM(K56:K60)</f>
        <v>45</v>
      </c>
      <c r="L61" s="586">
        <f>SUM(L56:L60)</f>
        <v>0</v>
      </c>
      <c r="M61" s="586">
        <f>SUM(M56:M60)</f>
        <v>0</v>
      </c>
      <c r="N61" s="586">
        <f>SUM(N56:N60)</f>
        <v>45</v>
      </c>
      <c r="O61" s="588">
        <f>IF(I61&gt;0,(N61-I61)/I61,(IF(N61=0,"N/A",100%)))</f>
        <v>0.21621621621621623</v>
      </c>
      <c r="P61" s="586">
        <f>SUM(P56:P60)</f>
        <v>20</v>
      </c>
      <c r="Q61" s="586">
        <f>SUM(Q56:Q60)</f>
        <v>4</v>
      </c>
      <c r="R61" s="586">
        <f>SUM(R56:R60)</f>
        <v>0</v>
      </c>
      <c r="S61" s="586">
        <f>SUM(S56:S60)</f>
        <v>24</v>
      </c>
      <c r="T61" s="668">
        <f>IF(N61&gt;0,(S61-N61)/N61,(IF(S61=0,"N/A",100%)))</f>
        <v>-0.46666666666666667</v>
      </c>
      <c r="U61" s="586">
        <f>SUM(U56:U60)</f>
        <v>4</v>
      </c>
      <c r="V61" s="586">
        <f>SUM(V56:V60)</f>
        <v>3</v>
      </c>
      <c r="W61" s="586">
        <f>SUM(W56:W60)</f>
        <v>0</v>
      </c>
      <c r="X61" s="586">
        <f>SUM(X56:X60)</f>
        <v>7</v>
      </c>
      <c r="Y61" s="588">
        <f t="shared" si="30"/>
        <v>-0.70833333333333337</v>
      </c>
      <c r="Z61" s="586">
        <f>SUM(Z56:Z60)</f>
        <v>45</v>
      </c>
      <c r="AA61" s="586">
        <f>SUM(AA56:AA60)</f>
        <v>5</v>
      </c>
      <c r="AB61" s="586">
        <f>SUM(AB56:AB60)</f>
        <v>0</v>
      </c>
      <c r="AC61" s="586">
        <f>SUM(AC56:AC60)</f>
        <v>50</v>
      </c>
      <c r="AD61" s="588">
        <f t="shared" si="46"/>
        <v>6.1428571428571432</v>
      </c>
    </row>
    <row r="62" spans="1:33" x14ac:dyDescent="0.25">
      <c r="A62" s="1102" t="s">
        <v>428</v>
      </c>
      <c r="B62" s="1100"/>
      <c r="C62" s="1100"/>
      <c r="D62" s="1100"/>
      <c r="E62" s="518"/>
      <c r="F62" s="1101"/>
      <c r="G62" s="1100"/>
      <c r="H62" s="1100"/>
      <c r="I62" s="578"/>
      <c r="J62" s="518"/>
      <c r="K62" s="605"/>
      <c r="L62" s="578"/>
      <c r="M62" s="578"/>
      <c r="N62" s="578"/>
      <c r="O62" s="518"/>
      <c r="P62" s="1284"/>
      <c r="Q62" s="1248"/>
      <c r="R62" s="1248"/>
      <c r="S62" s="1248"/>
      <c r="T62" s="607"/>
      <c r="U62" s="605"/>
      <c r="V62" s="578"/>
      <c r="W62" s="578"/>
      <c r="X62" s="578"/>
      <c r="Y62" s="518"/>
      <c r="Z62" s="605"/>
      <c r="AA62" s="578"/>
      <c r="AB62" s="578"/>
      <c r="AC62" s="578"/>
      <c r="AD62" s="518"/>
      <c r="AE62" s="328"/>
      <c r="AF62" s="328"/>
      <c r="AG62" s="328"/>
    </row>
    <row r="63" spans="1:33" x14ac:dyDescent="0.25">
      <c r="A63" s="1103" t="s">
        <v>992</v>
      </c>
      <c r="B63" s="1153">
        <v>0</v>
      </c>
      <c r="C63" s="1153">
        <v>0</v>
      </c>
      <c r="D63" s="1153">
        <v>0</v>
      </c>
      <c r="E63" s="375">
        <f t="shared" ref="E63:E68" si="59">SUM(B63:D63)</f>
        <v>0</v>
      </c>
      <c r="F63" s="1162">
        <v>0</v>
      </c>
      <c r="G63" s="1160">
        <v>0</v>
      </c>
      <c r="H63" s="1160">
        <v>0</v>
      </c>
      <c r="I63" s="581">
        <f t="shared" ref="I63:I68" si="60">SUM(F63:H63)</f>
        <v>0</v>
      </c>
      <c r="J63" s="582" t="str">
        <f t="shared" ref="J63:J69" si="61">IF(E63&gt;0,(I63-E63)/E63,(IF(I63=0,"N/A",100%)))</f>
        <v>N/A</v>
      </c>
      <c r="K63" s="580">
        <v>0</v>
      </c>
      <c r="L63" s="581">
        <v>0</v>
      </c>
      <c r="M63" s="581">
        <v>0</v>
      </c>
      <c r="N63" s="581">
        <f>SUM(K63:M63)</f>
        <v>0</v>
      </c>
      <c r="O63" s="582" t="str">
        <f t="shared" ref="O63" si="62">IF(I63&gt;0,(N63-I63)/I63,(IF(N63=0,"N/A",100%)))</f>
        <v>N/A</v>
      </c>
      <c r="P63" s="1271">
        <v>0</v>
      </c>
      <c r="Q63" s="1271">
        <v>0</v>
      </c>
      <c r="R63" s="1271">
        <v>0</v>
      </c>
      <c r="S63" s="1271">
        <f t="shared" ref="S63:S68" si="63">SUM(P63:R63)</f>
        <v>0</v>
      </c>
      <c r="T63" s="616" t="str">
        <f t="shared" ref="T63" si="64">IF(N63&gt;0,(S63-N63)/N63,(IF(S63=0,"N/A",100%)))</f>
        <v>N/A</v>
      </c>
      <c r="U63" s="580">
        <v>0</v>
      </c>
      <c r="V63" s="581">
        <v>0</v>
      </c>
      <c r="W63" s="581">
        <v>0</v>
      </c>
      <c r="X63" s="581">
        <f t="shared" ref="X63:X68" si="65">SUM(U63:W63)</f>
        <v>0</v>
      </c>
      <c r="Y63" s="582" t="str">
        <f>IF(S63&gt;0,(X63-S63)/S63,(IF(X63=0,"N/A",100%)))</f>
        <v>N/A</v>
      </c>
      <c r="Z63" s="580">
        <v>21</v>
      </c>
      <c r="AA63" s="581">
        <v>0</v>
      </c>
      <c r="AB63" s="581">
        <v>0</v>
      </c>
      <c r="AC63" s="581">
        <f t="shared" ref="AC63:AC68" si="66">SUM(Z63:AB63)</f>
        <v>21</v>
      </c>
      <c r="AD63" s="582">
        <f>IF(X63&gt;0,(AC63-X63)/X63,(IF(AC63=0,"N/A",100%)))</f>
        <v>1</v>
      </c>
      <c r="AE63" s="328"/>
      <c r="AF63" s="328"/>
      <c r="AG63" s="328"/>
    </row>
    <row r="64" spans="1:33" x14ac:dyDescent="0.25">
      <c r="A64" s="1125" t="s">
        <v>1409</v>
      </c>
      <c r="B64" s="1153">
        <v>0</v>
      </c>
      <c r="C64" s="1153">
        <v>0</v>
      </c>
      <c r="D64" s="1153">
        <v>0</v>
      </c>
      <c r="E64" s="375">
        <f t="shared" si="59"/>
        <v>0</v>
      </c>
      <c r="F64" s="1162">
        <v>0</v>
      </c>
      <c r="G64" s="1160">
        <v>0</v>
      </c>
      <c r="H64" s="1160">
        <v>0</v>
      </c>
      <c r="I64" s="581">
        <f t="shared" si="60"/>
        <v>0</v>
      </c>
      <c r="J64" s="582" t="str">
        <f t="shared" si="61"/>
        <v>N/A</v>
      </c>
      <c r="K64" s="580">
        <v>0</v>
      </c>
      <c r="L64" s="581">
        <v>0</v>
      </c>
      <c r="M64" s="581">
        <v>0</v>
      </c>
      <c r="N64" s="581">
        <f>SUM(K64:M64)</f>
        <v>0</v>
      </c>
      <c r="O64" s="582" t="str">
        <f t="shared" ref="O64:O69" si="67">IF(I64&gt;0,(N64-I64)/I64,(IF(N64=0,"N/A",100%)))</f>
        <v>N/A</v>
      </c>
      <c r="P64" s="1271">
        <v>0</v>
      </c>
      <c r="Q64" s="1271">
        <v>0</v>
      </c>
      <c r="R64" s="1271">
        <v>150</v>
      </c>
      <c r="S64" s="1271">
        <f t="shared" si="63"/>
        <v>150</v>
      </c>
      <c r="T64" s="616">
        <f t="shared" ref="T64:T69" si="68">IF(N64&gt;0,(S64-N64)/N64,(IF(S64=0,"N/A",100%)))</f>
        <v>1</v>
      </c>
      <c r="U64" s="580">
        <v>0</v>
      </c>
      <c r="V64" s="581">
        <v>0</v>
      </c>
      <c r="W64" s="581">
        <v>156</v>
      </c>
      <c r="X64" s="581">
        <f t="shared" si="65"/>
        <v>156</v>
      </c>
      <c r="Y64" s="582">
        <f>IF(S64&gt;0,(X64-S64)/S64,(IF(X64=0,"N/A",100%)))</f>
        <v>0.04</v>
      </c>
      <c r="Z64" s="580">
        <v>0</v>
      </c>
      <c r="AA64" s="581">
        <v>0</v>
      </c>
      <c r="AB64" s="581">
        <v>138</v>
      </c>
      <c r="AC64" s="581">
        <f t="shared" si="66"/>
        <v>138</v>
      </c>
      <c r="AD64" s="582">
        <f>IF(X64&gt;0,(AC64-X64)/X64,(IF(AC64=0,"N/A",100%)))</f>
        <v>-0.11538461538461539</v>
      </c>
      <c r="AE64" s="328"/>
      <c r="AF64" s="328"/>
      <c r="AG64" s="328"/>
    </row>
    <row r="65" spans="1:33" x14ac:dyDescent="0.25">
      <c r="A65" s="1103" t="s">
        <v>987</v>
      </c>
      <c r="B65" s="1153">
        <v>99</v>
      </c>
      <c r="C65" s="1153">
        <v>111</v>
      </c>
      <c r="D65" s="1153">
        <v>0</v>
      </c>
      <c r="E65" s="375">
        <f t="shared" si="59"/>
        <v>210</v>
      </c>
      <c r="F65" s="1157">
        <v>33</v>
      </c>
      <c r="G65" s="1153">
        <v>108</v>
      </c>
      <c r="H65" s="1153">
        <v>0</v>
      </c>
      <c r="I65" s="581">
        <f t="shared" si="60"/>
        <v>141</v>
      </c>
      <c r="J65" s="582">
        <f t="shared" si="61"/>
        <v>-0.32857142857142857</v>
      </c>
      <c r="K65" s="580">
        <v>33</v>
      </c>
      <c r="L65" s="581">
        <v>111</v>
      </c>
      <c r="M65" s="581">
        <v>0</v>
      </c>
      <c r="N65" s="581">
        <f>SUM(K65:M65)</f>
        <v>144</v>
      </c>
      <c r="O65" s="582">
        <f t="shared" si="67"/>
        <v>2.1276595744680851E-2</v>
      </c>
      <c r="P65" s="1271">
        <v>12</v>
      </c>
      <c r="Q65" s="1271">
        <v>57</v>
      </c>
      <c r="R65" s="1271">
        <v>0</v>
      </c>
      <c r="S65" s="1271">
        <f t="shared" si="63"/>
        <v>69</v>
      </c>
      <c r="T65" s="616">
        <f t="shared" si="68"/>
        <v>-0.52083333333333337</v>
      </c>
      <c r="U65" s="580">
        <v>0</v>
      </c>
      <c r="V65" s="581">
        <v>87</v>
      </c>
      <c r="W65" s="581">
        <v>0</v>
      </c>
      <c r="X65" s="581">
        <f t="shared" si="65"/>
        <v>87</v>
      </c>
      <c r="Y65" s="582">
        <f t="shared" ref="Y65:Y74" si="69">IF(S65&gt;0,(X65-S65)/S65,(IF(X65=0,"N/A",100%)))</f>
        <v>0.2608695652173913</v>
      </c>
      <c r="Z65" s="580">
        <v>33</v>
      </c>
      <c r="AA65" s="581">
        <v>66</v>
      </c>
      <c r="AB65" s="581">
        <v>0</v>
      </c>
      <c r="AC65" s="581">
        <f t="shared" si="66"/>
        <v>99</v>
      </c>
      <c r="AD65" s="582">
        <f t="shared" ref="AD65:AD69" si="70">IF(X65&gt;0,(AC65-X65)/X65,(IF(AC65=0,"N/A",100%)))</f>
        <v>0.13793103448275862</v>
      </c>
      <c r="AE65" s="328"/>
      <c r="AF65" s="328"/>
      <c r="AG65" s="328"/>
    </row>
    <row r="66" spans="1:33" x14ac:dyDescent="0.25">
      <c r="A66" s="1103" t="s">
        <v>993</v>
      </c>
      <c r="B66" s="1153">
        <v>0</v>
      </c>
      <c r="C66" s="1153">
        <v>30</v>
      </c>
      <c r="D66" s="1153">
        <v>0</v>
      </c>
      <c r="E66" s="375">
        <f t="shared" si="59"/>
        <v>30</v>
      </c>
      <c r="F66" s="1157">
        <v>0</v>
      </c>
      <c r="G66" s="1153">
        <v>45</v>
      </c>
      <c r="H66" s="1153">
        <v>0</v>
      </c>
      <c r="I66" s="581">
        <f t="shared" si="60"/>
        <v>45</v>
      </c>
      <c r="J66" s="582">
        <f t="shared" si="61"/>
        <v>0.5</v>
      </c>
      <c r="K66" s="580">
        <v>0</v>
      </c>
      <c r="L66" s="581">
        <v>45</v>
      </c>
      <c r="M66" s="581">
        <v>0</v>
      </c>
      <c r="N66" s="581">
        <f>SUM(K66:M66)</f>
        <v>45</v>
      </c>
      <c r="O66" s="582">
        <f t="shared" si="67"/>
        <v>0</v>
      </c>
      <c r="P66" s="1271">
        <v>0</v>
      </c>
      <c r="Q66" s="1271">
        <v>75</v>
      </c>
      <c r="R66" s="1271">
        <v>0</v>
      </c>
      <c r="S66" s="1271">
        <f t="shared" si="63"/>
        <v>75</v>
      </c>
      <c r="T66" s="616">
        <f t="shared" si="68"/>
        <v>0.66666666666666663</v>
      </c>
      <c r="U66" s="580">
        <v>0</v>
      </c>
      <c r="V66" s="581">
        <v>87</v>
      </c>
      <c r="W66" s="581">
        <v>0</v>
      </c>
      <c r="X66" s="581">
        <f t="shared" si="65"/>
        <v>87</v>
      </c>
      <c r="Y66" s="582">
        <f t="shared" si="69"/>
        <v>0.16</v>
      </c>
      <c r="Z66" s="580">
        <v>0</v>
      </c>
      <c r="AA66" s="581">
        <v>42</v>
      </c>
      <c r="AB66" s="581">
        <v>0</v>
      </c>
      <c r="AC66" s="581">
        <f t="shared" si="66"/>
        <v>42</v>
      </c>
      <c r="AD66" s="582">
        <f t="shared" si="70"/>
        <v>-0.51724137931034486</v>
      </c>
      <c r="AE66" s="328"/>
      <c r="AF66" s="328"/>
      <c r="AG66" s="328"/>
    </row>
    <row r="67" spans="1:33" x14ac:dyDescent="0.25">
      <c r="A67" s="1103" t="s">
        <v>994</v>
      </c>
      <c r="B67" s="1153">
        <v>87</v>
      </c>
      <c r="C67" s="1153">
        <v>3</v>
      </c>
      <c r="D67" s="1153">
        <v>0</v>
      </c>
      <c r="E67" s="375">
        <f t="shared" si="59"/>
        <v>90</v>
      </c>
      <c r="F67" s="1157">
        <v>84</v>
      </c>
      <c r="G67" s="1153">
        <v>27</v>
      </c>
      <c r="H67" s="1153">
        <v>0</v>
      </c>
      <c r="I67" s="581">
        <f t="shared" si="60"/>
        <v>111</v>
      </c>
      <c r="J67" s="582">
        <f t="shared" si="61"/>
        <v>0.23333333333333334</v>
      </c>
      <c r="K67" s="580">
        <v>87</v>
      </c>
      <c r="L67" s="581">
        <v>18</v>
      </c>
      <c r="M67" s="581">
        <v>0</v>
      </c>
      <c r="N67" s="581">
        <f>SUM(K67:M67)</f>
        <v>105</v>
      </c>
      <c r="O67" s="582">
        <f t="shared" si="67"/>
        <v>-5.4054054054054057E-2</v>
      </c>
      <c r="P67" s="1271">
        <v>138</v>
      </c>
      <c r="Q67" s="1271">
        <v>0</v>
      </c>
      <c r="R67" s="1271">
        <v>0</v>
      </c>
      <c r="S67" s="1271">
        <f t="shared" si="63"/>
        <v>138</v>
      </c>
      <c r="T67" s="616">
        <f t="shared" si="68"/>
        <v>0.31428571428571428</v>
      </c>
      <c r="U67" s="580">
        <v>99</v>
      </c>
      <c r="V67" s="581">
        <v>36</v>
      </c>
      <c r="W67" s="581">
        <v>0</v>
      </c>
      <c r="X67" s="581">
        <f t="shared" si="65"/>
        <v>135</v>
      </c>
      <c r="Y67" s="582">
        <f t="shared" si="69"/>
        <v>-2.1739130434782608E-2</v>
      </c>
      <c r="Z67" s="580">
        <v>81</v>
      </c>
      <c r="AA67" s="581">
        <v>24</v>
      </c>
      <c r="AB67" s="581">
        <v>0</v>
      </c>
      <c r="AC67" s="581">
        <f t="shared" si="66"/>
        <v>105</v>
      </c>
      <c r="AD67" s="582">
        <f t="shared" si="70"/>
        <v>-0.22222222222222221</v>
      </c>
      <c r="AE67" s="328"/>
      <c r="AF67" s="328"/>
      <c r="AG67" s="328"/>
    </row>
    <row r="68" spans="1:33" x14ac:dyDescent="0.25">
      <c r="A68" s="1125" t="s">
        <v>1376</v>
      </c>
      <c r="B68" s="1153">
        <v>0</v>
      </c>
      <c r="C68" s="1153">
        <v>0</v>
      </c>
      <c r="D68" s="1153">
        <v>0</v>
      </c>
      <c r="E68" s="375">
        <f t="shared" si="59"/>
        <v>0</v>
      </c>
      <c r="F68" s="1157">
        <v>0</v>
      </c>
      <c r="G68" s="1153">
        <v>0</v>
      </c>
      <c r="H68" s="1153">
        <v>0</v>
      </c>
      <c r="I68" s="581">
        <f t="shared" si="60"/>
        <v>0</v>
      </c>
      <c r="J68" s="582" t="str">
        <f t="shared" si="61"/>
        <v>N/A</v>
      </c>
      <c r="K68" s="580"/>
      <c r="L68" s="581"/>
      <c r="M68" s="581"/>
      <c r="N68" s="581"/>
      <c r="O68" s="582" t="str">
        <f t="shared" si="67"/>
        <v>N/A</v>
      </c>
      <c r="P68" s="1271">
        <v>0</v>
      </c>
      <c r="Q68" s="1271">
        <v>3</v>
      </c>
      <c r="R68" s="1271">
        <v>0</v>
      </c>
      <c r="S68" s="1271">
        <f t="shared" si="63"/>
        <v>3</v>
      </c>
      <c r="T68" s="616">
        <f t="shared" si="68"/>
        <v>1</v>
      </c>
      <c r="U68" s="580">
        <v>0</v>
      </c>
      <c r="V68" s="581">
        <v>6</v>
      </c>
      <c r="W68" s="581">
        <v>0</v>
      </c>
      <c r="X68" s="581">
        <f t="shared" si="65"/>
        <v>6</v>
      </c>
      <c r="Y68" s="582">
        <f t="shared" si="69"/>
        <v>1</v>
      </c>
      <c r="Z68" s="580">
        <v>0</v>
      </c>
      <c r="AA68" s="581">
        <v>30</v>
      </c>
      <c r="AB68" s="581">
        <v>0</v>
      </c>
      <c r="AC68" s="581">
        <f t="shared" si="66"/>
        <v>30</v>
      </c>
      <c r="AD68" s="582">
        <f t="shared" si="70"/>
        <v>4</v>
      </c>
      <c r="AE68" s="328"/>
      <c r="AF68" s="328"/>
      <c r="AG68" s="328"/>
    </row>
    <row r="69" spans="1:33" s="575" customFormat="1" ht="13.8" x14ac:dyDescent="0.25">
      <c r="A69" s="1104" t="s">
        <v>961</v>
      </c>
      <c r="B69" s="586">
        <f t="shared" ref="B69:I69" si="71">SUM(B63:B68)</f>
        <v>186</v>
      </c>
      <c r="C69" s="586">
        <f t="shared" si="71"/>
        <v>144</v>
      </c>
      <c r="D69" s="586">
        <f t="shared" si="71"/>
        <v>0</v>
      </c>
      <c r="E69" s="1156">
        <f t="shared" si="71"/>
        <v>330</v>
      </c>
      <c r="F69" s="586">
        <f t="shared" si="71"/>
        <v>117</v>
      </c>
      <c r="G69" s="586">
        <f t="shared" si="71"/>
        <v>180</v>
      </c>
      <c r="H69" s="586">
        <f t="shared" si="71"/>
        <v>0</v>
      </c>
      <c r="I69" s="1156">
        <f t="shared" si="71"/>
        <v>297</v>
      </c>
      <c r="J69" s="588">
        <f t="shared" si="61"/>
        <v>-0.1</v>
      </c>
      <c r="K69" s="586">
        <f>SUM(K63:K68)</f>
        <v>120</v>
      </c>
      <c r="L69" s="586">
        <f>SUM(L63:L68)</f>
        <v>174</v>
      </c>
      <c r="M69" s="586">
        <f>SUM(M63:M68)</f>
        <v>0</v>
      </c>
      <c r="N69" s="1156">
        <f>SUM(N63:N68)</f>
        <v>294</v>
      </c>
      <c r="O69" s="588">
        <f t="shared" si="67"/>
        <v>-1.0101010101010102E-2</v>
      </c>
      <c r="P69" s="586">
        <f>SUM(P63:P68)</f>
        <v>150</v>
      </c>
      <c r="Q69" s="586">
        <f>SUM(Q63:Q68)</f>
        <v>135</v>
      </c>
      <c r="R69" s="586">
        <f>SUM(R63:R68)</f>
        <v>150</v>
      </c>
      <c r="S69" s="1156">
        <f>SUM(S63:S68)</f>
        <v>435</v>
      </c>
      <c r="T69" s="668">
        <f t="shared" si="68"/>
        <v>0.47959183673469385</v>
      </c>
      <c r="U69" s="586">
        <f>SUM(U63:U68)</f>
        <v>99</v>
      </c>
      <c r="V69" s="586">
        <f>SUM(V63:V68)</f>
        <v>216</v>
      </c>
      <c r="W69" s="586">
        <f>SUM(W63:W68)</f>
        <v>156</v>
      </c>
      <c r="X69" s="1156">
        <f>SUM(X63:X68)</f>
        <v>471</v>
      </c>
      <c r="Y69" s="588">
        <f t="shared" si="69"/>
        <v>8.2758620689655171E-2</v>
      </c>
      <c r="Z69" s="586">
        <f>SUM(Z63:Z68)</f>
        <v>135</v>
      </c>
      <c r="AA69" s="586">
        <f>SUM(AA63:AA68)</f>
        <v>162</v>
      </c>
      <c r="AB69" s="586">
        <f>SUM(AB63:AB68)</f>
        <v>138</v>
      </c>
      <c r="AC69" s="1156">
        <f>SUM(AC63:AC68)</f>
        <v>435</v>
      </c>
      <c r="AD69" s="588">
        <f t="shared" si="70"/>
        <v>-7.6433121019108277E-2</v>
      </c>
    </row>
    <row r="70" spans="1:33" x14ac:dyDescent="0.25">
      <c r="A70" s="1102" t="s">
        <v>409</v>
      </c>
      <c r="B70" s="1100"/>
      <c r="C70" s="1100"/>
      <c r="D70" s="1100"/>
      <c r="E70" s="518"/>
      <c r="F70" s="1101"/>
      <c r="G70" s="1100"/>
      <c r="H70" s="1100"/>
      <c r="I70" s="578"/>
      <c r="J70" s="518"/>
      <c r="K70" s="605"/>
      <c r="L70" s="578"/>
      <c r="M70" s="578"/>
      <c r="N70" s="578"/>
      <c r="O70" s="518"/>
      <c r="P70" s="1284"/>
      <c r="Q70" s="1248"/>
      <c r="R70" s="1248"/>
      <c r="S70" s="1248"/>
      <c r="T70" s="607"/>
      <c r="U70" s="605"/>
      <c r="V70" s="578"/>
      <c r="W70" s="578"/>
      <c r="X70" s="578"/>
      <c r="Y70" s="518"/>
      <c r="Z70" s="605"/>
      <c r="AA70" s="578"/>
      <c r="AB70" s="578"/>
      <c r="AC70" s="578"/>
      <c r="AD70" s="518"/>
      <c r="AE70" s="328"/>
      <c r="AF70" s="328"/>
      <c r="AG70" s="328"/>
    </row>
    <row r="71" spans="1:33" x14ac:dyDescent="0.25">
      <c r="A71" s="1103" t="s">
        <v>990</v>
      </c>
      <c r="B71" s="1153">
        <v>135</v>
      </c>
      <c r="C71" s="1153">
        <v>15</v>
      </c>
      <c r="D71" s="1153">
        <v>0</v>
      </c>
      <c r="E71" s="375">
        <f>SUM(B71:D71)</f>
        <v>150</v>
      </c>
      <c r="F71" s="1157">
        <v>216</v>
      </c>
      <c r="G71" s="1153">
        <v>33</v>
      </c>
      <c r="H71" s="1153">
        <v>0</v>
      </c>
      <c r="I71" s="581">
        <f>SUM(F71:H71)</f>
        <v>249</v>
      </c>
      <c r="J71" s="582">
        <f>IF(E71&gt;0,(I71-E71)/E71,(IF(I71=0,"N/A",100%)))</f>
        <v>0.66</v>
      </c>
      <c r="K71" s="580">
        <v>255</v>
      </c>
      <c r="L71" s="581">
        <v>21</v>
      </c>
      <c r="M71" s="581">
        <v>0</v>
      </c>
      <c r="N71" s="581">
        <f>SUM(K71:M71)</f>
        <v>276</v>
      </c>
      <c r="O71" s="582">
        <f>IF(I71&gt;0,(N71-I71)/I71,(IF(N71=0,"N/A",100%)))</f>
        <v>0.10843373493975904</v>
      </c>
      <c r="P71" s="1271">
        <v>228</v>
      </c>
      <c r="Q71" s="1271">
        <v>6</v>
      </c>
      <c r="R71" s="1271">
        <v>0</v>
      </c>
      <c r="S71" s="1271">
        <f>SUM(P71:R71)</f>
        <v>234</v>
      </c>
      <c r="T71" s="616">
        <f>IF(N71&gt;0,(S71-N71)/N71,(IF(S71=0,"N/A",100%)))</f>
        <v>-0.15217391304347827</v>
      </c>
      <c r="U71" s="580">
        <v>186</v>
      </c>
      <c r="V71" s="581">
        <v>0</v>
      </c>
      <c r="W71" s="581">
        <v>0</v>
      </c>
      <c r="X71" s="581">
        <f>SUM(U71:W71)</f>
        <v>186</v>
      </c>
      <c r="Y71" s="582">
        <f t="shared" si="69"/>
        <v>-0.20512820512820512</v>
      </c>
      <c r="Z71" s="580">
        <v>27</v>
      </c>
      <c r="AA71" s="581">
        <v>177</v>
      </c>
      <c r="AB71" s="581">
        <v>0</v>
      </c>
      <c r="AC71" s="581">
        <f>SUM(Z71:AB71)</f>
        <v>204</v>
      </c>
      <c r="AD71" s="582">
        <f t="shared" ref="AD71:AD74" si="72">IF(X71&gt;0,(AC71-X71)/X71,(IF(AC71=0,"N/A",100%)))</f>
        <v>9.6774193548387094E-2</v>
      </c>
      <c r="AE71" s="328"/>
      <c r="AF71" s="328"/>
      <c r="AG71" s="328"/>
    </row>
    <row r="72" spans="1:33" x14ac:dyDescent="0.25">
      <c r="A72" s="1103" t="s">
        <v>995</v>
      </c>
      <c r="B72" s="1153">
        <v>135</v>
      </c>
      <c r="C72" s="1153">
        <v>0</v>
      </c>
      <c r="D72" s="1153">
        <v>0</v>
      </c>
      <c r="E72" s="375">
        <f>SUM(B72:D72)</f>
        <v>135</v>
      </c>
      <c r="F72" s="1157">
        <v>87</v>
      </c>
      <c r="G72" s="1153">
        <v>0</v>
      </c>
      <c r="H72" s="1153">
        <v>0</v>
      </c>
      <c r="I72" s="581">
        <f>SUM(F72:H72)</f>
        <v>87</v>
      </c>
      <c r="J72" s="582">
        <f>IF(E72&gt;0,(I72-E72)/E72,(IF(I72=0,"N/A",100%)))</f>
        <v>-0.35555555555555557</v>
      </c>
      <c r="K72" s="580">
        <v>168</v>
      </c>
      <c r="L72" s="581">
        <v>0</v>
      </c>
      <c r="M72" s="581">
        <v>0</v>
      </c>
      <c r="N72" s="581">
        <f>SUM(K72:M72)</f>
        <v>168</v>
      </c>
      <c r="O72" s="582">
        <f>IF(I72&gt;0,(N72-I72)/I72,(IF(N72=0,"N/A",100%)))</f>
        <v>0.93103448275862066</v>
      </c>
      <c r="P72" s="1271">
        <v>141</v>
      </c>
      <c r="Q72" s="1271">
        <v>0</v>
      </c>
      <c r="R72" s="1271">
        <v>0</v>
      </c>
      <c r="S72" s="1271">
        <f>SUM(P72:R72)</f>
        <v>141</v>
      </c>
      <c r="T72" s="616">
        <f>IF(N72&gt;0,(S72-N72)/N72,(IF(S72=0,"N/A",100%)))</f>
        <v>-0.16071428571428573</v>
      </c>
      <c r="U72" s="580">
        <v>198</v>
      </c>
      <c r="V72" s="581">
        <v>0</v>
      </c>
      <c r="W72" s="581">
        <v>0</v>
      </c>
      <c r="X72" s="581">
        <f>SUM(U72:W72)</f>
        <v>198</v>
      </c>
      <c r="Y72" s="582">
        <f t="shared" si="69"/>
        <v>0.40425531914893614</v>
      </c>
      <c r="Z72" s="580">
        <v>102</v>
      </c>
      <c r="AA72" s="581">
        <v>3</v>
      </c>
      <c r="AB72" s="581">
        <v>0</v>
      </c>
      <c r="AC72" s="581">
        <f>SUM(Z72:AB72)</f>
        <v>105</v>
      </c>
      <c r="AD72" s="582">
        <f t="shared" si="72"/>
        <v>-0.46969696969696972</v>
      </c>
      <c r="AE72" s="328"/>
      <c r="AF72" s="328"/>
      <c r="AG72" s="328"/>
    </row>
    <row r="73" spans="1:33" s="575" customFormat="1" ht="13.8" x14ac:dyDescent="0.25">
      <c r="A73" s="1104" t="s">
        <v>961</v>
      </c>
      <c r="B73" s="586">
        <f t="shared" ref="B73:I73" si="73">SUM(B71:B72)</f>
        <v>270</v>
      </c>
      <c r="C73" s="586">
        <f t="shared" si="73"/>
        <v>15</v>
      </c>
      <c r="D73" s="586">
        <f t="shared" si="73"/>
        <v>0</v>
      </c>
      <c r="E73" s="587">
        <f t="shared" si="73"/>
        <v>285</v>
      </c>
      <c r="F73" s="586">
        <f t="shared" si="73"/>
        <v>303</v>
      </c>
      <c r="G73" s="586">
        <f t="shared" si="73"/>
        <v>33</v>
      </c>
      <c r="H73" s="586">
        <f t="shared" si="73"/>
        <v>0</v>
      </c>
      <c r="I73" s="586">
        <f t="shared" si="73"/>
        <v>336</v>
      </c>
      <c r="J73" s="588">
        <f>IF(E73&gt;0,(I73-E73)/E73,(IF(I73=0,"N/A",100%)))</f>
        <v>0.17894736842105263</v>
      </c>
      <c r="K73" s="585">
        <f t="shared" ref="K73:S73" si="74">SUM(K71:K72)</f>
        <v>423</v>
      </c>
      <c r="L73" s="586">
        <f t="shared" si="74"/>
        <v>21</v>
      </c>
      <c r="M73" s="586">
        <f t="shared" si="74"/>
        <v>0</v>
      </c>
      <c r="N73" s="586">
        <f t="shared" si="74"/>
        <v>444</v>
      </c>
      <c r="O73" s="588">
        <f>IF(I73&gt;0,(N73-I73)/I73,(IF(N73=0,"N/A",100%)))</f>
        <v>0.32142857142857145</v>
      </c>
      <c r="P73" s="1273">
        <f t="shared" si="74"/>
        <v>369</v>
      </c>
      <c r="Q73" s="1273">
        <f t="shared" si="74"/>
        <v>6</v>
      </c>
      <c r="R73" s="1273">
        <f t="shared" si="74"/>
        <v>0</v>
      </c>
      <c r="S73" s="1273">
        <f t="shared" si="74"/>
        <v>375</v>
      </c>
      <c r="T73" s="668">
        <f>IF(N73&gt;0,(S73-N73)/N73,(IF(S73=0,"N/A",100%)))</f>
        <v>-0.1554054054054054</v>
      </c>
      <c r="U73" s="585">
        <f>SUM(U71:U72)</f>
        <v>384</v>
      </c>
      <c r="V73" s="586">
        <f>SUM(V71:V72)</f>
        <v>0</v>
      </c>
      <c r="W73" s="586">
        <f>SUM(W71:W72)</f>
        <v>0</v>
      </c>
      <c r="X73" s="586">
        <f>SUM(X71:X72)</f>
        <v>384</v>
      </c>
      <c r="Y73" s="588">
        <f t="shared" si="69"/>
        <v>2.4E-2</v>
      </c>
      <c r="Z73" s="585">
        <f>SUM(Z71:Z72)</f>
        <v>129</v>
      </c>
      <c r="AA73" s="586">
        <f>SUM(AA71:AA72)</f>
        <v>180</v>
      </c>
      <c r="AB73" s="586">
        <f>SUM(AB71:AB72)</f>
        <v>0</v>
      </c>
      <c r="AC73" s="586">
        <f>SUM(AC71:AC72)</f>
        <v>309</v>
      </c>
      <c r="AD73" s="588">
        <f t="shared" si="72"/>
        <v>-0.1953125</v>
      </c>
    </row>
    <row r="74" spans="1:33" s="596" customFormat="1" ht="16.2" thickBot="1" x14ac:dyDescent="0.35">
      <c r="A74" s="1106" t="s">
        <v>414</v>
      </c>
      <c r="B74" s="1123">
        <f t="shared" ref="B74:I74" si="75">+B46+B54+B61+B69+B73</f>
        <v>701</v>
      </c>
      <c r="C74" s="1123">
        <f t="shared" si="75"/>
        <v>304</v>
      </c>
      <c r="D74" s="1123">
        <f t="shared" si="75"/>
        <v>159</v>
      </c>
      <c r="E74" s="1142">
        <f t="shared" si="75"/>
        <v>1164</v>
      </c>
      <c r="F74" s="1123">
        <f t="shared" si="75"/>
        <v>544</v>
      </c>
      <c r="G74" s="1123">
        <f t="shared" si="75"/>
        <v>333</v>
      </c>
      <c r="H74" s="1123">
        <f t="shared" si="75"/>
        <v>234</v>
      </c>
      <c r="I74" s="1123">
        <f t="shared" si="75"/>
        <v>1111</v>
      </c>
      <c r="J74" s="1124">
        <f>IF(E74&gt;0,(I74-E74)/E74,(IF(I74=0,"N/A",100%)))</f>
        <v>-4.5532646048109963E-2</v>
      </c>
      <c r="K74" s="1141">
        <f t="shared" ref="K74:S74" si="76">+K46+K54+K61+K69+K73</f>
        <v>681</v>
      </c>
      <c r="L74" s="1123">
        <f t="shared" si="76"/>
        <v>246</v>
      </c>
      <c r="M74" s="1123">
        <f t="shared" si="76"/>
        <v>123</v>
      </c>
      <c r="N74" s="1123">
        <f t="shared" si="76"/>
        <v>1050</v>
      </c>
      <c r="O74" s="1124">
        <f>IF(I74&gt;0,(N74-I74)/I74,(IF(N74=0,"N/A",100%)))</f>
        <v>-5.4905490549054907E-2</v>
      </c>
      <c r="P74" s="1275">
        <f t="shared" si="76"/>
        <v>605</v>
      </c>
      <c r="Q74" s="1275">
        <f t="shared" si="76"/>
        <v>284</v>
      </c>
      <c r="R74" s="1275">
        <f t="shared" si="76"/>
        <v>336</v>
      </c>
      <c r="S74" s="1275">
        <f t="shared" si="76"/>
        <v>1225</v>
      </c>
      <c r="T74" s="1276">
        <f>IF(N74&gt;0,(S74-N74)/N74,(IF(S74=0,"N/A",100%)))</f>
        <v>0.16666666666666666</v>
      </c>
      <c r="U74" s="1141">
        <f>+U46+U54+U61+U69+U73</f>
        <v>532</v>
      </c>
      <c r="V74" s="1123">
        <f>+V46+V54+V61+V69+V73</f>
        <v>320</v>
      </c>
      <c r="W74" s="1123">
        <f>+W46+W54+W61+W69+W73</f>
        <v>246</v>
      </c>
      <c r="X74" s="1123">
        <f>+X46+X54+X61+X69+X73</f>
        <v>1098</v>
      </c>
      <c r="Y74" s="1124">
        <f t="shared" si="69"/>
        <v>-0.1036734693877551</v>
      </c>
      <c r="Z74" s="1141">
        <f>+Z46+Z54+Z61+Z69+Z73</f>
        <v>342</v>
      </c>
      <c r="AA74" s="1123">
        <f>+AA46+AA54+AA61+AA69+AA73</f>
        <v>530</v>
      </c>
      <c r="AB74" s="1123">
        <f>+AB46+AB54+AB61+AB69+AB73</f>
        <v>258</v>
      </c>
      <c r="AC74" s="1123">
        <f>+AC46+AC54+AC61+AC69+AC73</f>
        <v>1130</v>
      </c>
      <c r="AD74" s="1124">
        <f t="shared" si="72"/>
        <v>2.9143897996357013E-2</v>
      </c>
    </row>
    <row r="75" spans="1:33" ht="14.25" customHeight="1" x14ac:dyDescent="0.25">
      <c r="A75" s="604"/>
      <c r="B75" s="604"/>
      <c r="C75" s="604"/>
      <c r="D75" s="604"/>
      <c r="E75" s="604"/>
      <c r="F75" s="604"/>
      <c r="G75" s="604"/>
      <c r="H75" s="604"/>
      <c r="I75" s="604"/>
      <c r="J75" s="604"/>
      <c r="K75" s="335"/>
      <c r="L75" s="335"/>
      <c r="M75" s="335"/>
      <c r="N75" s="335"/>
      <c r="O75" s="335"/>
      <c r="P75" s="328"/>
      <c r="Q75" s="328"/>
      <c r="R75" s="328"/>
      <c r="S75" s="328"/>
      <c r="T75" s="328"/>
      <c r="U75" s="328"/>
      <c r="V75" s="328"/>
      <c r="W75" s="328"/>
      <c r="X75" s="328"/>
      <c r="Y75" s="328"/>
      <c r="Z75" s="328"/>
      <c r="AA75" s="328"/>
      <c r="AB75" s="328"/>
      <c r="AC75" s="328"/>
      <c r="AD75" s="328"/>
      <c r="AE75" s="328"/>
      <c r="AF75" s="328"/>
      <c r="AG75" s="328"/>
    </row>
    <row r="76" spans="1:33" ht="14.25" customHeight="1" thickBot="1" x14ac:dyDescent="0.3">
      <c r="A76" s="604"/>
      <c r="B76" s="604"/>
      <c r="C76" s="604"/>
      <c r="D76" s="604"/>
      <c r="E76" s="604"/>
      <c r="F76" s="604"/>
      <c r="G76" s="604"/>
      <c r="H76" s="604"/>
      <c r="I76" s="604"/>
      <c r="J76" s="604"/>
      <c r="K76" s="335"/>
      <c r="L76" s="335"/>
      <c r="M76" s="335"/>
      <c r="N76" s="335"/>
      <c r="O76" s="335"/>
      <c r="P76" s="328"/>
      <c r="Q76" s="328"/>
      <c r="R76" s="328"/>
      <c r="S76" s="328"/>
      <c r="T76" s="328"/>
      <c r="U76" s="328"/>
      <c r="V76" s="328"/>
      <c r="W76" s="328"/>
      <c r="X76" s="328"/>
      <c r="Y76" s="328"/>
      <c r="Z76" s="328"/>
      <c r="AA76" s="328"/>
      <c r="AB76" s="328"/>
      <c r="AC76" s="328"/>
      <c r="AD76" s="328"/>
      <c r="AE76" s="328"/>
      <c r="AF76" s="328"/>
      <c r="AG76" s="328"/>
    </row>
    <row r="77" spans="1:33" customFormat="1" ht="18" thickBot="1" x14ac:dyDescent="0.35">
      <c r="A77" s="1718" t="s">
        <v>400</v>
      </c>
      <c r="B77" s="1719"/>
      <c r="C77" s="1719"/>
      <c r="D77" s="1719"/>
      <c r="E77" s="1719"/>
      <c r="F77" s="1719"/>
      <c r="G77" s="1719"/>
      <c r="H77" s="1719"/>
      <c r="I77" s="1719"/>
      <c r="J77" s="1719"/>
      <c r="K77" s="1719"/>
      <c r="L77" s="1719"/>
      <c r="M77" s="1719"/>
      <c r="N77" s="1719"/>
      <c r="O77" s="1719"/>
      <c r="P77" s="1719"/>
      <c r="Q77" s="1719"/>
      <c r="R77" s="1719"/>
      <c r="S77" s="1719"/>
      <c r="T77" s="1719"/>
      <c r="U77" s="1719"/>
      <c r="V77" s="1719"/>
      <c r="W77" s="1719"/>
      <c r="X77" s="1719"/>
      <c r="Y77" s="1719"/>
      <c r="Z77" s="1719"/>
      <c r="AA77" s="1719"/>
      <c r="AB77" s="1719"/>
      <c r="AC77" s="1719"/>
      <c r="AD77" s="1720"/>
    </row>
    <row r="78" spans="1:33" ht="26.4" x14ac:dyDescent="0.25">
      <c r="A78" s="1746" t="s">
        <v>952</v>
      </c>
      <c r="B78" s="1480" t="s">
        <v>954</v>
      </c>
      <c r="C78" s="1480" t="s">
        <v>955</v>
      </c>
      <c r="D78" s="1480" t="s">
        <v>956</v>
      </c>
      <c r="E78" s="820" t="s">
        <v>957</v>
      </c>
      <c r="F78" s="148" t="s">
        <v>954</v>
      </c>
      <c r="G78" s="1480" t="s">
        <v>955</v>
      </c>
      <c r="H78" s="1480" t="s">
        <v>956</v>
      </c>
      <c r="I78" s="1481" t="s">
        <v>957</v>
      </c>
      <c r="J78" s="729" t="s">
        <v>958</v>
      </c>
      <c r="K78" s="148" t="s">
        <v>954</v>
      </c>
      <c r="L78" s="1480" t="s">
        <v>955</v>
      </c>
      <c r="M78" s="1480" t="s">
        <v>956</v>
      </c>
      <c r="N78" s="1486" t="s">
        <v>957</v>
      </c>
      <c r="O78" s="729" t="s">
        <v>958</v>
      </c>
      <c r="P78" s="1349" t="s">
        <v>954</v>
      </c>
      <c r="Q78" s="1349" t="s">
        <v>955</v>
      </c>
      <c r="R78" s="1349" t="s">
        <v>956</v>
      </c>
      <c r="S78" s="1263" t="s">
        <v>957</v>
      </c>
      <c r="T78" s="750" t="s">
        <v>958</v>
      </c>
      <c r="U78" s="148" t="s">
        <v>954</v>
      </c>
      <c r="V78" s="1480" t="s">
        <v>955</v>
      </c>
      <c r="W78" s="1480" t="s">
        <v>956</v>
      </c>
      <c r="X78" s="1481" t="s">
        <v>957</v>
      </c>
      <c r="Y78" s="729" t="s">
        <v>958</v>
      </c>
      <c r="Z78" s="148" t="s">
        <v>954</v>
      </c>
      <c r="AA78" s="1480" t="s">
        <v>955</v>
      </c>
      <c r="AB78" s="1480" t="s">
        <v>956</v>
      </c>
      <c r="AC78" s="1481" t="s">
        <v>957</v>
      </c>
      <c r="AD78" s="729" t="s">
        <v>958</v>
      </c>
      <c r="AE78" s="328"/>
      <c r="AF78" s="328"/>
      <c r="AG78" s="328"/>
    </row>
    <row r="79" spans="1:33" ht="12.75" customHeight="1" x14ac:dyDescent="0.25">
      <c r="A79" s="1747"/>
      <c r="B79" s="1742" t="s">
        <v>1407</v>
      </c>
      <c r="C79" s="1742"/>
      <c r="D79" s="1742"/>
      <c r="E79" s="1743"/>
      <c r="F79" s="1741" t="s">
        <v>1408</v>
      </c>
      <c r="G79" s="1742"/>
      <c r="H79" s="1742"/>
      <c r="I79" s="1742"/>
      <c r="J79" s="1743"/>
      <c r="K79" s="1726" t="s">
        <v>1396</v>
      </c>
      <c r="L79" s="1727"/>
      <c r="M79" s="1727"/>
      <c r="N79" s="1727"/>
      <c r="O79" s="1728"/>
      <c r="P79" s="1727" t="s">
        <v>1397</v>
      </c>
      <c r="Q79" s="1727"/>
      <c r="R79" s="1727"/>
      <c r="S79" s="1727"/>
      <c r="T79" s="1728"/>
      <c r="U79" s="1741" t="s">
        <v>1398</v>
      </c>
      <c r="V79" s="1742"/>
      <c r="W79" s="1742"/>
      <c r="X79" s="1742"/>
      <c r="Y79" s="1743"/>
      <c r="Z79" s="1741" t="s">
        <v>1574</v>
      </c>
      <c r="AA79" s="1742"/>
      <c r="AB79" s="1742"/>
      <c r="AC79" s="1742"/>
      <c r="AD79" s="1743"/>
      <c r="AE79" s="328"/>
      <c r="AF79" s="328"/>
      <c r="AG79" s="328"/>
    </row>
    <row r="80" spans="1:33" x14ac:dyDescent="0.25">
      <c r="A80" s="1102" t="s">
        <v>402</v>
      </c>
      <c r="B80" s="1100"/>
      <c r="C80" s="1100"/>
      <c r="D80" s="1100"/>
      <c r="E80" s="1107"/>
      <c r="F80" s="1101"/>
      <c r="G80" s="1100"/>
      <c r="H80" s="1100"/>
      <c r="I80" s="1100"/>
      <c r="J80" s="1107"/>
      <c r="K80" s="605"/>
      <c r="L80" s="578"/>
      <c r="M80" s="578"/>
      <c r="N80" s="1114"/>
      <c r="O80" s="518"/>
      <c r="P80" s="1284"/>
      <c r="Q80" s="1248"/>
      <c r="R80" s="1248"/>
      <c r="S80" s="1248"/>
      <c r="T80" s="607"/>
      <c r="U80" s="605"/>
      <c r="V80" s="578"/>
      <c r="W80" s="578"/>
      <c r="X80" s="578"/>
      <c r="Y80" s="518"/>
      <c r="Z80" s="605"/>
      <c r="AA80" s="578"/>
      <c r="AB80" s="578"/>
      <c r="AC80" s="578"/>
      <c r="AD80" s="518"/>
      <c r="AE80" s="328"/>
      <c r="AF80" s="328"/>
      <c r="AG80" s="328"/>
    </row>
    <row r="81" spans="1:33" x14ac:dyDescent="0.25">
      <c r="A81" s="1105" t="s">
        <v>1006</v>
      </c>
      <c r="B81" s="1111">
        <v>216</v>
      </c>
      <c r="C81" s="1111">
        <v>63</v>
      </c>
      <c r="D81" s="1111">
        <v>57</v>
      </c>
      <c r="E81" s="375">
        <f>SUM(B81:D81)</f>
        <v>336</v>
      </c>
      <c r="F81" s="1157">
        <v>216</v>
      </c>
      <c r="G81" s="1153">
        <v>94</v>
      </c>
      <c r="H81" s="1153">
        <v>42</v>
      </c>
      <c r="I81" s="581">
        <f>SUM(F81:H81)</f>
        <v>352</v>
      </c>
      <c r="J81" s="582">
        <f>IF(E81&gt;0,(I81-E81)/E81,(IF(I81=0,"N/A",100%)))</f>
        <v>4.7619047619047616E-2</v>
      </c>
      <c r="K81" s="580">
        <v>268</v>
      </c>
      <c r="L81" s="581">
        <v>27</v>
      </c>
      <c r="M81" s="581">
        <v>63</v>
      </c>
      <c r="N81" s="1112">
        <f>SUM(K81:M81)</f>
        <v>358</v>
      </c>
      <c r="O81" s="582">
        <f>IF(I81&gt;0,(N81-I81)/I81,(IF(N81=0,"N/A",100%)))</f>
        <v>1.7045454545454544E-2</v>
      </c>
      <c r="P81" s="1271">
        <v>260</v>
      </c>
      <c r="Q81" s="1271">
        <v>52</v>
      </c>
      <c r="R81" s="1271">
        <v>45</v>
      </c>
      <c r="S81" s="1271">
        <f>SUM(P81:R81)</f>
        <v>357</v>
      </c>
      <c r="T81" s="616">
        <f>IF(N81&gt;0,(S81-N81)/N81,(IF(S81=0,"N/A",100%)))</f>
        <v>-2.7932960893854749E-3</v>
      </c>
      <c r="U81" s="580">
        <v>288</v>
      </c>
      <c r="V81" s="581">
        <v>0</v>
      </c>
      <c r="W81" s="581">
        <v>69</v>
      </c>
      <c r="X81" s="581">
        <f>SUM(U81:W81)</f>
        <v>357</v>
      </c>
      <c r="Y81" s="582">
        <f t="shared" ref="Y81:Y99" si="77">IF(S81&gt;0,(X81-S81)/S81,(IF(X81=0,"N/A",100%)))</f>
        <v>0</v>
      </c>
      <c r="Z81" s="580">
        <v>28</v>
      </c>
      <c r="AA81" s="581">
        <v>196</v>
      </c>
      <c r="AB81" s="581">
        <v>36</v>
      </c>
      <c r="AC81" s="581">
        <f>SUM(Z81:AB81)</f>
        <v>260</v>
      </c>
      <c r="AD81" s="582">
        <f t="shared" ref="AD81:AD83" si="78">IF(X81&gt;0,(AC81-X81)/X81,(IF(AC81=0,"N/A",100%)))</f>
        <v>-0.27170868347338933</v>
      </c>
      <c r="AE81" s="328"/>
      <c r="AF81" s="328"/>
      <c r="AG81" s="328"/>
    </row>
    <row r="82" spans="1:33" x14ac:dyDescent="0.25">
      <c r="A82" s="1103" t="s">
        <v>1301</v>
      </c>
      <c r="B82" s="1153">
        <v>0</v>
      </c>
      <c r="C82" s="1153">
        <v>0</v>
      </c>
      <c r="D82" s="1153">
        <v>0</v>
      </c>
      <c r="E82" s="375">
        <f>SUM(B82:D82)</f>
        <v>0</v>
      </c>
      <c r="F82" s="1157">
        <v>0</v>
      </c>
      <c r="G82" s="1153">
        <v>0</v>
      </c>
      <c r="H82" s="1153">
        <v>0</v>
      </c>
      <c r="I82" s="581">
        <f>SUM(F82:H82)</f>
        <v>0</v>
      </c>
      <c r="J82" s="582" t="str">
        <f>IF(E82&gt;0,(I82-E82)/E82,(IF(I82=0,"N/A",100%)))</f>
        <v>N/A</v>
      </c>
      <c r="K82" s="580">
        <v>0</v>
      </c>
      <c r="L82" s="581">
        <v>0</v>
      </c>
      <c r="M82" s="581">
        <v>0</v>
      </c>
      <c r="N82" s="1112">
        <f>SUM(K82:M82)</f>
        <v>0</v>
      </c>
      <c r="O82" s="582" t="str">
        <f>IF(I82&gt;0,(N82-I82)/I82,(IF(N82=0,"N/A",100%)))</f>
        <v>N/A</v>
      </c>
      <c r="P82" s="1271">
        <v>0</v>
      </c>
      <c r="Q82" s="1271">
        <v>0</v>
      </c>
      <c r="R82" s="1271">
        <v>0</v>
      </c>
      <c r="S82" s="1271">
        <f>SUM(P82:R82)</f>
        <v>0</v>
      </c>
      <c r="T82" s="616" t="str">
        <f>IF(N82&gt;0,(S82-N82)/N82,(IF(S82=0,"N/A",100%)))</f>
        <v>N/A</v>
      </c>
      <c r="U82" s="580">
        <v>0</v>
      </c>
      <c r="V82" s="581">
        <v>0</v>
      </c>
      <c r="W82" s="581">
        <v>0</v>
      </c>
      <c r="X82" s="581">
        <f>SUM(U82:W82)</f>
        <v>0</v>
      </c>
      <c r="Y82" s="582" t="str">
        <f t="shared" si="77"/>
        <v>N/A</v>
      </c>
      <c r="Z82" s="580">
        <v>0</v>
      </c>
      <c r="AA82" s="581">
        <v>0</v>
      </c>
      <c r="AB82" s="581">
        <v>0</v>
      </c>
      <c r="AC82" s="581">
        <f>SUM(Z82:AB82)</f>
        <v>0</v>
      </c>
      <c r="AD82" s="582" t="str">
        <f t="shared" si="78"/>
        <v>N/A</v>
      </c>
      <c r="AE82" s="328"/>
      <c r="AF82" s="328"/>
      <c r="AG82" s="328"/>
    </row>
    <row r="83" spans="1:33" ht="13.8" x14ac:dyDescent="0.25">
      <c r="A83" s="1104" t="s">
        <v>961</v>
      </c>
      <c r="B83" s="1110">
        <f t="shared" ref="B83:I83" si="79">+B82+B81</f>
        <v>216</v>
      </c>
      <c r="C83" s="1110">
        <f t="shared" si="79"/>
        <v>63</v>
      </c>
      <c r="D83" s="1110">
        <f t="shared" si="79"/>
        <v>57</v>
      </c>
      <c r="E83" s="1146">
        <f>+E82+E81</f>
        <v>336</v>
      </c>
      <c r="F83" s="1110">
        <f t="shared" si="79"/>
        <v>216</v>
      </c>
      <c r="G83" s="1110">
        <f t="shared" si="79"/>
        <v>94</v>
      </c>
      <c r="H83" s="1110">
        <f t="shared" si="79"/>
        <v>42</v>
      </c>
      <c r="I83" s="1110">
        <f t="shared" si="79"/>
        <v>352</v>
      </c>
      <c r="J83" s="588">
        <f>IF(E83&gt;0,(I83-E83)/E83,(IF(I83=0,"N/A",100%)))</f>
        <v>4.7619047619047616E-2</v>
      </c>
      <c r="K83" s="1144">
        <f t="shared" ref="K83:S83" si="80">+K82+K81</f>
        <v>268</v>
      </c>
      <c r="L83" s="1110">
        <f t="shared" si="80"/>
        <v>27</v>
      </c>
      <c r="M83" s="1110">
        <f t="shared" si="80"/>
        <v>63</v>
      </c>
      <c r="N83" s="1278">
        <f t="shared" si="80"/>
        <v>358</v>
      </c>
      <c r="O83" s="588">
        <f>IF(I83&gt;0,(N83-I83)/I83,(IF(N83=0,"N/A",100%)))</f>
        <v>1.7045454545454544E-2</v>
      </c>
      <c r="P83" s="1282">
        <f t="shared" si="80"/>
        <v>260</v>
      </c>
      <c r="Q83" s="1282">
        <f t="shared" si="80"/>
        <v>52</v>
      </c>
      <c r="R83" s="1282">
        <f t="shared" si="80"/>
        <v>45</v>
      </c>
      <c r="S83" s="1282">
        <f t="shared" si="80"/>
        <v>357</v>
      </c>
      <c r="T83" s="668">
        <f>IF(N83&gt;0,(S83-N83)/N83,(IF(S83=0,"N/A",100%)))</f>
        <v>-2.7932960893854749E-3</v>
      </c>
      <c r="U83" s="1144">
        <f>+U82+U81</f>
        <v>288</v>
      </c>
      <c r="V83" s="1110">
        <f>+V82+V81</f>
        <v>0</v>
      </c>
      <c r="W83" s="1110">
        <f>+W82+W81</f>
        <v>69</v>
      </c>
      <c r="X83" s="1110">
        <f>+X82+X81</f>
        <v>357</v>
      </c>
      <c r="Y83" s="588">
        <f t="shared" si="77"/>
        <v>0</v>
      </c>
      <c r="Z83" s="1144">
        <f>+Z82+Z81</f>
        <v>28</v>
      </c>
      <c r="AA83" s="1110">
        <f>+AA82+AA81</f>
        <v>196</v>
      </c>
      <c r="AB83" s="1110">
        <f>+AB82+AB81</f>
        <v>36</v>
      </c>
      <c r="AC83" s="1110">
        <f>+AC82+AC81</f>
        <v>260</v>
      </c>
      <c r="AD83" s="588">
        <f t="shared" si="78"/>
        <v>-0.27170868347338933</v>
      </c>
      <c r="AE83" s="328"/>
      <c r="AF83" s="328"/>
      <c r="AG83" s="328"/>
    </row>
    <row r="84" spans="1:33" x14ac:dyDescent="0.25">
      <c r="A84" s="1102" t="s">
        <v>403</v>
      </c>
      <c r="B84" s="1100"/>
      <c r="C84" s="1100"/>
      <c r="D84" s="1100"/>
      <c r="E84" s="518"/>
      <c r="F84" s="1101"/>
      <c r="G84" s="1100"/>
      <c r="H84" s="1100"/>
      <c r="I84" s="578"/>
      <c r="J84" s="518"/>
      <c r="K84" s="605"/>
      <c r="L84" s="578"/>
      <c r="M84" s="578"/>
      <c r="N84" s="1114"/>
      <c r="O84" s="518"/>
      <c r="P84" s="1284"/>
      <c r="Q84" s="1248"/>
      <c r="R84" s="1248"/>
      <c r="S84" s="1248"/>
      <c r="T84" s="607"/>
      <c r="U84" s="605"/>
      <c r="V84" s="578"/>
      <c r="W84" s="578"/>
      <c r="X84" s="578"/>
      <c r="Y84" s="518"/>
      <c r="Z84" s="605"/>
      <c r="AA84" s="578"/>
      <c r="AB84" s="578"/>
      <c r="AC84" s="578"/>
      <c r="AD84" s="518"/>
      <c r="AE84" s="328"/>
      <c r="AF84" s="328"/>
      <c r="AG84" s="328"/>
    </row>
    <row r="85" spans="1:33" x14ac:dyDescent="0.25">
      <c r="A85" s="1103" t="s">
        <v>1302</v>
      </c>
      <c r="B85" s="1153">
        <v>57</v>
      </c>
      <c r="C85" s="1153">
        <v>0</v>
      </c>
      <c r="D85" s="1153">
        <v>0</v>
      </c>
      <c r="E85" s="375">
        <f>SUM(B85:D85)</f>
        <v>57</v>
      </c>
      <c r="F85" s="1157">
        <v>69</v>
      </c>
      <c r="G85" s="1153">
        <v>0</v>
      </c>
      <c r="H85" s="1153">
        <v>0</v>
      </c>
      <c r="I85" s="581">
        <f>SUM(F85:H85)</f>
        <v>69</v>
      </c>
      <c r="J85" s="582">
        <f>IF(E85&gt;0,(I85-E85)/E85,(IF(I85=0,"N/A",100%)))</f>
        <v>0.21052631578947367</v>
      </c>
      <c r="K85" s="580">
        <v>105</v>
      </c>
      <c r="L85" s="581">
        <v>0</v>
      </c>
      <c r="M85" s="581">
        <v>0</v>
      </c>
      <c r="N85" s="1112">
        <f>SUM(K85:M85)</f>
        <v>105</v>
      </c>
      <c r="O85" s="582">
        <f>IF(I85&gt;0,(N85-I85)/I85,(IF(N85=0,"N/A",100%)))</f>
        <v>0.52173913043478259</v>
      </c>
      <c r="P85" s="1271">
        <v>63</v>
      </c>
      <c r="Q85" s="1271">
        <v>0</v>
      </c>
      <c r="R85" s="1271">
        <v>0</v>
      </c>
      <c r="S85" s="1271">
        <f>SUM(P85:R85)</f>
        <v>63</v>
      </c>
      <c r="T85" s="616">
        <f>IF(N85&gt;0,(S85-N85)/N85,(IF(S85=0,"N/A",100%)))</f>
        <v>-0.4</v>
      </c>
      <c r="U85" s="580">
        <v>72</v>
      </c>
      <c r="V85" s="581">
        <v>0</v>
      </c>
      <c r="W85" s="581">
        <v>0</v>
      </c>
      <c r="X85" s="581">
        <f>SUM(U85:W85)</f>
        <v>72</v>
      </c>
      <c r="Y85" s="582">
        <f t="shared" si="77"/>
        <v>0.14285714285714285</v>
      </c>
      <c r="Z85" s="580">
        <v>45</v>
      </c>
      <c r="AA85" s="581">
        <v>0</v>
      </c>
      <c r="AB85" s="581">
        <v>0</v>
      </c>
      <c r="AC85" s="581">
        <f>SUM(Z85:AB85)</f>
        <v>45</v>
      </c>
      <c r="AD85" s="582">
        <f t="shared" ref="AD85:AD87" si="81">IF(X85&gt;0,(AC85-X85)/X85,(IF(AC85=0,"N/A",100%)))</f>
        <v>-0.375</v>
      </c>
      <c r="AE85" s="328"/>
      <c r="AF85" s="328"/>
      <c r="AG85" s="328"/>
    </row>
    <row r="86" spans="1:33" x14ac:dyDescent="0.25">
      <c r="A86" s="1103" t="s">
        <v>799</v>
      </c>
      <c r="B86" s="1153">
        <v>153</v>
      </c>
      <c r="C86" s="1153">
        <v>0</v>
      </c>
      <c r="D86" s="1153">
        <v>0</v>
      </c>
      <c r="E86" s="375">
        <f>SUM(B86:D86)</f>
        <v>153</v>
      </c>
      <c r="F86" s="1157">
        <v>156</v>
      </c>
      <c r="G86" s="1153">
        <v>15</v>
      </c>
      <c r="H86" s="1153">
        <v>0</v>
      </c>
      <c r="I86" s="581">
        <f>SUM(F86:H86)</f>
        <v>171</v>
      </c>
      <c r="J86" s="582">
        <f>IF(E86&gt;0,(I86-E86)/E86,(IF(I86=0,"N/A",100%)))</f>
        <v>0.11764705882352941</v>
      </c>
      <c r="K86" s="580">
        <v>240</v>
      </c>
      <c r="L86" s="581">
        <v>0</v>
      </c>
      <c r="M86" s="581">
        <v>0</v>
      </c>
      <c r="N86" s="1112">
        <f>SUM(K86:M86)</f>
        <v>240</v>
      </c>
      <c r="O86" s="582">
        <f>IF(I86&gt;0,(N86-I86)/I86,(IF(N86=0,"N/A",100%)))</f>
        <v>0.40350877192982454</v>
      </c>
      <c r="P86" s="1271">
        <v>225</v>
      </c>
      <c r="Q86" s="1271">
        <v>0</v>
      </c>
      <c r="R86" s="1271">
        <v>0</v>
      </c>
      <c r="S86" s="1271">
        <f>SUM(P86:R86)</f>
        <v>225</v>
      </c>
      <c r="T86" s="616">
        <f>IF(N86&gt;0,(S86-N86)/N86,(IF(S86=0,"N/A",100%)))</f>
        <v>-6.25E-2</v>
      </c>
      <c r="U86" s="580">
        <v>153</v>
      </c>
      <c r="V86" s="581">
        <v>12</v>
      </c>
      <c r="W86" s="581">
        <v>0</v>
      </c>
      <c r="X86" s="581">
        <f>SUM(U86:W86)</f>
        <v>165</v>
      </c>
      <c r="Y86" s="582">
        <f t="shared" si="77"/>
        <v>-0.26666666666666666</v>
      </c>
      <c r="Z86" s="580">
        <v>126</v>
      </c>
      <c r="AA86" s="581">
        <v>54</v>
      </c>
      <c r="AB86" s="581">
        <v>0</v>
      </c>
      <c r="AC86" s="581">
        <f>SUM(Z86:AB86)</f>
        <v>180</v>
      </c>
      <c r="AD86" s="582">
        <f t="shared" si="81"/>
        <v>9.0909090909090912E-2</v>
      </c>
      <c r="AE86" s="328"/>
      <c r="AF86" s="328"/>
      <c r="AG86" s="328"/>
    </row>
    <row r="87" spans="1:33" s="575" customFormat="1" ht="13.8" x14ac:dyDescent="0.25">
      <c r="A87" s="1104" t="s">
        <v>961</v>
      </c>
      <c r="B87" s="586">
        <f t="shared" ref="B87:I87" si="82">SUM(B85:B86)</f>
        <v>210</v>
      </c>
      <c r="C87" s="586">
        <f t="shared" si="82"/>
        <v>0</v>
      </c>
      <c r="D87" s="586">
        <f t="shared" si="82"/>
        <v>0</v>
      </c>
      <c r="E87" s="587">
        <f>SUM(E85:E86)</f>
        <v>210</v>
      </c>
      <c r="F87" s="586">
        <f t="shared" si="82"/>
        <v>225</v>
      </c>
      <c r="G87" s="586">
        <f t="shared" si="82"/>
        <v>15</v>
      </c>
      <c r="H87" s="586">
        <f t="shared" si="82"/>
        <v>0</v>
      </c>
      <c r="I87" s="586">
        <f t="shared" si="82"/>
        <v>240</v>
      </c>
      <c r="J87" s="588">
        <f>IF(E87&gt;0,(I87-E87)/E87,(IF(I87=0,"N/A",100%)))</f>
        <v>0.14285714285714285</v>
      </c>
      <c r="K87" s="585">
        <f t="shared" ref="K87:S87" si="83">SUM(K85:K86)</f>
        <v>345</v>
      </c>
      <c r="L87" s="586">
        <f t="shared" si="83"/>
        <v>0</v>
      </c>
      <c r="M87" s="586">
        <f t="shared" si="83"/>
        <v>0</v>
      </c>
      <c r="N87" s="1113">
        <f t="shared" si="83"/>
        <v>345</v>
      </c>
      <c r="O87" s="588">
        <f>IF(I87&gt;0,(N87-I87)/I87,(IF(N87=0,"N/A",100%)))</f>
        <v>0.4375</v>
      </c>
      <c r="P87" s="1273">
        <f t="shared" si="83"/>
        <v>288</v>
      </c>
      <c r="Q87" s="1273">
        <f t="shared" si="83"/>
        <v>0</v>
      </c>
      <c r="R87" s="1273">
        <f t="shared" si="83"/>
        <v>0</v>
      </c>
      <c r="S87" s="1273">
        <f t="shared" si="83"/>
        <v>288</v>
      </c>
      <c r="T87" s="668">
        <f>IF(N87&gt;0,(S87-N87)/N87,(IF(S87=0,"N/A",100%)))</f>
        <v>-0.16521739130434782</v>
      </c>
      <c r="U87" s="585">
        <f>SUM(U85:U86)</f>
        <v>225</v>
      </c>
      <c r="V87" s="586">
        <f>SUM(V85:V86)</f>
        <v>12</v>
      </c>
      <c r="W87" s="586">
        <f>SUM(W85:W86)</f>
        <v>0</v>
      </c>
      <c r="X87" s="586">
        <f>SUM(X85:X86)</f>
        <v>237</v>
      </c>
      <c r="Y87" s="588">
        <f t="shared" si="77"/>
        <v>-0.17708333333333334</v>
      </c>
      <c r="Z87" s="585">
        <f>SUM(Z85:Z86)</f>
        <v>171</v>
      </c>
      <c r="AA87" s="586">
        <f>SUM(AA85:AA86)</f>
        <v>54</v>
      </c>
      <c r="AB87" s="586">
        <f>SUM(AB85:AB86)</f>
        <v>0</v>
      </c>
      <c r="AC87" s="586">
        <f>SUM(AC85:AC86)</f>
        <v>225</v>
      </c>
      <c r="AD87" s="588">
        <f t="shared" si="81"/>
        <v>-5.0632911392405063E-2</v>
      </c>
    </row>
    <row r="88" spans="1:33" customFormat="1" x14ac:dyDescent="0.25">
      <c r="A88" s="1126" t="s">
        <v>405</v>
      </c>
      <c r="B88" s="402"/>
      <c r="C88" s="402"/>
      <c r="D88" s="402"/>
      <c r="E88" s="618"/>
      <c r="F88" s="1145"/>
      <c r="G88" s="402"/>
      <c r="H88" s="402"/>
      <c r="I88" s="617"/>
      <c r="J88" s="618"/>
      <c r="K88" s="619"/>
      <c r="L88" s="617"/>
      <c r="M88" s="617"/>
      <c r="N88" s="1279"/>
      <c r="O88" s="618"/>
      <c r="P88" s="1283"/>
      <c r="Q88" s="1283"/>
      <c r="R88" s="1283"/>
      <c r="S88" s="1283"/>
      <c r="T88" s="1213"/>
      <c r="U88" s="619"/>
      <c r="V88" s="617"/>
      <c r="W88" s="617"/>
      <c r="X88" s="617"/>
      <c r="Y88" s="618"/>
      <c r="Z88" s="619"/>
      <c r="AA88" s="617"/>
      <c r="AB88" s="617"/>
      <c r="AC88" s="617"/>
      <c r="AD88" s="618"/>
    </row>
    <row r="89" spans="1:33" x14ac:dyDescent="0.25">
      <c r="A89" s="1103" t="s">
        <v>1007</v>
      </c>
      <c r="B89" s="1153">
        <v>192</v>
      </c>
      <c r="C89" s="1153">
        <v>0</v>
      </c>
      <c r="D89" s="1153">
        <v>0</v>
      </c>
      <c r="E89" s="375">
        <f>SUM(B89:D89)</f>
        <v>192</v>
      </c>
      <c r="F89" s="1157">
        <v>328</v>
      </c>
      <c r="G89" s="1153">
        <v>0</v>
      </c>
      <c r="H89" s="1153">
        <v>0</v>
      </c>
      <c r="I89" s="581">
        <f>SUM(F89:H89)</f>
        <v>328</v>
      </c>
      <c r="J89" s="582">
        <f t="shared" ref="J89:J94" si="84">IF(E89&gt;0,(I89-E89)/E89,(IF(I89=0,"N/A",100%)))</f>
        <v>0.70833333333333337</v>
      </c>
      <c r="K89" s="580">
        <v>252</v>
      </c>
      <c r="L89" s="581">
        <v>4</v>
      </c>
      <c r="M89" s="581">
        <v>0</v>
      </c>
      <c r="N89" s="1112">
        <f>SUM(K89:M89)</f>
        <v>256</v>
      </c>
      <c r="O89" s="582">
        <f t="shared" ref="O89:O94" si="85">IF(I89&gt;0,(N89-I89)/I89,(IF(N89=0,"N/A",100%)))</f>
        <v>-0.21951219512195122</v>
      </c>
      <c r="P89" s="1271">
        <v>272</v>
      </c>
      <c r="Q89" s="1271">
        <v>0</v>
      </c>
      <c r="R89" s="1271">
        <v>0</v>
      </c>
      <c r="S89" s="1271">
        <f>SUM(P89:R89)</f>
        <v>272</v>
      </c>
      <c r="T89" s="616">
        <f t="shared" ref="T89:T94" si="86">IF(N89&gt;0,(S89-N89)/N89,(IF(S89=0,"N/A",100%)))</f>
        <v>6.25E-2</v>
      </c>
      <c r="U89" s="580">
        <v>236</v>
      </c>
      <c r="V89" s="581">
        <v>0</v>
      </c>
      <c r="W89" s="581">
        <v>0</v>
      </c>
      <c r="X89" s="581">
        <f>SUM(U89:W89)</f>
        <v>236</v>
      </c>
      <c r="Y89" s="582">
        <f t="shared" si="77"/>
        <v>-0.13235294117647059</v>
      </c>
      <c r="Z89" s="580">
        <v>104</v>
      </c>
      <c r="AA89" s="581">
        <v>56</v>
      </c>
      <c r="AB89" s="581">
        <v>0</v>
      </c>
      <c r="AC89" s="581">
        <f>SUM(Z89:AB89)</f>
        <v>160</v>
      </c>
      <c r="AD89" s="582">
        <f t="shared" ref="AD89:AD94" si="87">IF(X89&gt;0,(AC89-X89)/X89,(IF(AC89=0,"N/A",100%)))</f>
        <v>-0.32203389830508472</v>
      </c>
      <c r="AE89" s="328"/>
      <c r="AF89" s="328"/>
      <c r="AG89" s="328"/>
    </row>
    <row r="90" spans="1:33" x14ac:dyDescent="0.25">
      <c r="A90" s="1103" t="s">
        <v>1008</v>
      </c>
      <c r="B90" s="1153">
        <v>25</v>
      </c>
      <c r="C90" s="1153">
        <v>0</v>
      </c>
      <c r="D90" s="1153">
        <v>0</v>
      </c>
      <c r="E90" s="375">
        <f>SUM(B90:D90)</f>
        <v>25</v>
      </c>
      <c r="F90" s="1157">
        <v>18</v>
      </c>
      <c r="G90" s="1153">
        <v>0</v>
      </c>
      <c r="H90" s="1153">
        <v>0</v>
      </c>
      <c r="I90" s="581">
        <f>SUM(F90:H90)</f>
        <v>18</v>
      </c>
      <c r="J90" s="582">
        <f t="shared" si="84"/>
        <v>-0.28000000000000003</v>
      </c>
      <c r="K90" s="580">
        <v>18</v>
      </c>
      <c r="L90" s="581">
        <v>0</v>
      </c>
      <c r="M90" s="581">
        <v>0</v>
      </c>
      <c r="N90" s="1112">
        <f>SUM(K90:M90)</f>
        <v>18</v>
      </c>
      <c r="O90" s="582">
        <f t="shared" si="85"/>
        <v>0</v>
      </c>
      <c r="P90" s="1271">
        <v>0</v>
      </c>
      <c r="Q90" s="1271">
        <v>0</v>
      </c>
      <c r="R90" s="1271">
        <v>0</v>
      </c>
      <c r="S90" s="1271">
        <f>SUM(P90:R90)</f>
        <v>0</v>
      </c>
      <c r="T90" s="616">
        <f t="shared" si="86"/>
        <v>-1</v>
      </c>
      <c r="U90" s="580">
        <v>0</v>
      </c>
      <c r="V90" s="581">
        <v>0</v>
      </c>
      <c r="W90" s="581">
        <v>0</v>
      </c>
      <c r="X90" s="581">
        <f>SUM(U90:W90)</f>
        <v>0</v>
      </c>
      <c r="Y90" s="582" t="str">
        <f t="shared" si="77"/>
        <v>N/A</v>
      </c>
      <c r="Z90" s="580">
        <v>0</v>
      </c>
      <c r="AA90" s="581">
        <v>0</v>
      </c>
      <c r="AB90" s="581">
        <v>0</v>
      </c>
      <c r="AC90" s="581">
        <f>SUM(Z90:AB90)</f>
        <v>0</v>
      </c>
      <c r="AD90" s="582" t="str">
        <f t="shared" si="87"/>
        <v>N/A</v>
      </c>
      <c r="AE90" s="328"/>
      <c r="AF90" s="328"/>
      <c r="AG90" s="328"/>
    </row>
    <row r="91" spans="1:33" x14ac:dyDescent="0.25">
      <c r="A91" s="1103" t="s">
        <v>1009</v>
      </c>
      <c r="B91" s="1153">
        <v>0</v>
      </c>
      <c r="C91" s="1153">
        <v>0</v>
      </c>
      <c r="D91" s="1153">
        <v>0</v>
      </c>
      <c r="E91" s="375">
        <f>SUM(B91:D91)</f>
        <v>0</v>
      </c>
      <c r="F91" s="1157">
        <v>0</v>
      </c>
      <c r="G91" s="1153">
        <v>0</v>
      </c>
      <c r="H91" s="1153">
        <v>0</v>
      </c>
      <c r="I91" s="581">
        <f>SUM(F91:H91)</f>
        <v>0</v>
      </c>
      <c r="J91" s="582" t="str">
        <f t="shared" si="84"/>
        <v>N/A</v>
      </c>
      <c r="K91" s="580">
        <v>0</v>
      </c>
      <c r="L91" s="581">
        <v>0</v>
      </c>
      <c r="M91" s="581">
        <v>0</v>
      </c>
      <c r="N91" s="1112">
        <f>SUM(K91:M91)</f>
        <v>0</v>
      </c>
      <c r="O91" s="582" t="str">
        <f t="shared" si="85"/>
        <v>N/A</v>
      </c>
      <c r="P91" s="1271">
        <v>0</v>
      </c>
      <c r="Q91" s="1271">
        <v>0</v>
      </c>
      <c r="R91" s="1271">
        <v>0</v>
      </c>
      <c r="S91" s="1271">
        <f>SUM(P91:R91)</f>
        <v>0</v>
      </c>
      <c r="T91" s="616" t="str">
        <f t="shared" si="86"/>
        <v>N/A</v>
      </c>
      <c r="U91" s="580">
        <v>24</v>
      </c>
      <c r="V91" s="581">
        <v>0</v>
      </c>
      <c r="W91" s="581">
        <v>0</v>
      </c>
      <c r="X91" s="581">
        <f>SUM(U91:W91)</f>
        <v>24</v>
      </c>
      <c r="Y91" s="582">
        <f t="shared" si="77"/>
        <v>1</v>
      </c>
      <c r="Z91" s="580">
        <v>0</v>
      </c>
      <c r="AA91" s="581">
        <v>0</v>
      </c>
      <c r="AB91" s="581">
        <v>0</v>
      </c>
      <c r="AC91" s="581">
        <f>SUM(Z91:AB91)</f>
        <v>0</v>
      </c>
      <c r="AD91" s="582">
        <f t="shared" si="87"/>
        <v>-1</v>
      </c>
      <c r="AE91" s="328"/>
      <c r="AF91" s="328"/>
      <c r="AG91" s="328"/>
    </row>
    <row r="92" spans="1:33" x14ac:dyDescent="0.25">
      <c r="A92" s="1103" t="s">
        <v>1010</v>
      </c>
      <c r="B92" s="1153">
        <v>28</v>
      </c>
      <c r="C92" s="1153">
        <v>0</v>
      </c>
      <c r="D92" s="1153">
        <v>0</v>
      </c>
      <c r="E92" s="375">
        <f>SUM(B92:D92)</f>
        <v>28</v>
      </c>
      <c r="F92" s="1157">
        <v>64</v>
      </c>
      <c r="G92" s="1153">
        <v>0</v>
      </c>
      <c r="H92" s="1153">
        <v>0</v>
      </c>
      <c r="I92" s="581">
        <f>SUM(F92:H92)</f>
        <v>64</v>
      </c>
      <c r="J92" s="582">
        <f t="shared" si="84"/>
        <v>1.2857142857142858</v>
      </c>
      <c r="K92" s="580">
        <v>36</v>
      </c>
      <c r="L92" s="581">
        <v>0</v>
      </c>
      <c r="M92" s="581">
        <v>0</v>
      </c>
      <c r="N92" s="1112">
        <f>SUM(K92:M92)</f>
        <v>36</v>
      </c>
      <c r="O92" s="582">
        <f t="shared" si="85"/>
        <v>-0.4375</v>
      </c>
      <c r="P92" s="1271">
        <v>32</v>
      </c>
      <c r="Q92" s="1271">
        <v>0</v>
      </c>
      <c r="R92" s="1271">
        <v>0</v>
      </c>
      <c r="S92" s="1271">
        <f>SUM(P92:R92)</f>
        <v>32</v>
      </c>
      <c r="T92" s="616">
        <f t="shared" si="86"/>
        <v>-0.1111111111111111</v>
      </c>
      <c r="U92" s="580">
        <v>60</v>
      </c>
      <c r="V92" s="581">
        <v>0</v>
      </c>
      <c r="W92" s="581">
        <v>0</v>
      </c>
      <c r="X92" s="581">
        <f>SUM(U92:W92)</f>
        <v>60</v>
      </c>
      <c r="Y92" s="582">
        <f t="shared" si="77"/>
        <v>0.875</v>
      </c>
      <c r="Z92" s="580">
        <v>0</v>
      </c>
      <c r="AA92" s="581">
        <v>60</v>
      </c>
      <c r="AB92" s="581">
        <v>0</v>
      </c>
      <c r="AC92" s="581">
        <f>SUM(Z92:AB92)</f>
        <v>60</v>
      </c>
      <c r="AD92" s="582">
        <f t="shared" si="87"/>
        <v>0</v>
      </c>
      <c r="AE92" s="328"/>
      <c r="AF92" s="328"/>
      <c r="AG92" s="328"/>
    </row>
    <row r="93" spans="1:33" x14ac:dyDescent="0.25">
      <c r="A93" s="1103" t="s">
        <v>1011</v>
      </c>
      <c r="B93" s="1153">
        <v>104</v>
      </c>
      <c r="C93" s="1153">
        <v>0</v>
      </c>
      <c r="D93" s="1153">
        <v>0</v>
      </c>
      <c r="E93" s="375">
        <f>SUM(B93:D93)</f>
        <v>104</v>
      </c>
      <c r="F93" s="1157">
        <v>132</v>
      </c>
      <c r="G93" s="1153">
        <v>0</v>
      </c>
      <c r="H93" s="1153">
        <v>0</v>
      </c>
      <c r="I93" s="581">
        <f>SUM(F93:H93)</f>
        <v>132</v>
      </c>
      <c r="J93" s="582">
        <f t="shared" si="84"/>
        <v>0.26923076923076922</v>
      </c>
      <c r="K93" s="580">
        <v>120</v>
      </c>
      <c r="L93" s="581">
        <v>0</v>
      </c>
      <c r="M93" s="581">
        <v>0</v>
      </c>
      <c r="N93" s="1112">
        <f>SUM(K93:M93)</f>
        <v>120</v>
      </c>
      <c r="O93" s="582">
        <f t="shared" si="85"/>
        <v>-9.0909090909090912E-2</v>
      </c>
      <c r="P93" s="1271">
        <v>112</v>
      </c>
      <c r="Q93" s="1271">
        <v>0</v>
      </c>
      <c r="R93" s="1271">
        <v>0</v>
      </c>
      <c r="S93" s="1271">
        <f>SUM(P93:R93)</f>
        <v>112</v>
      </c>
      <c r="T93" s="616">
        <f t="shared" si="86"/>
        <v>-6.6666666666666666E-2</v>
      </c>
      <c r="U93" s="580">
        <v>152</v>
      </c>
      <c r="V93" s="581">
        <v>0</v>
      </c>
      <c r="W93" s="581">
        <v>0</v>
      </c>
      <c r="X93" s="581">
        <f>SUM(U93:W93)</f>
        <v>152</v>
      </c>
      <c r="Y93" s="582">
        <f t="shared" si="77"/>
        <v>0.35714285714285715</v>
      </c>
      <c r="Z93" s="580">
        <v>116</v>
      </c>
      <c r="AA93" s="581">
        <v>0</v>
      </c>
      <c r="AB93" s="581">
        <v>0</v>
      </c>
      <c r="AC93" s="581">
        <f>SUM(Z93:AB93)</f>
        <v>116</v>
      </c>
      <c r="AD93" s="582">
        <f t="shared" si="87"/>
        <v>-0.23684210526315788</v>
      </c>
      <c r="AE93" s="328"/>
      <c r="AF93" s="328"/>
      <c r="AG93" s="328"/>
    </row>
    <row r="94" spans="1:33" s="575" customFormat="1" ht="13.8" x14ac:dyDescent="0.25">
      <c r="A94" s="1104" t="s">
        <v>961</v>
      </c>
      <c r="B94" s="586">
        <f t="shared" ref="B94:I94" si="88">SUM(B89:B93)</f>
        <v>349</v>
      </c>
      <c r="C94" s="586">
        <f t="shared" si="88"/>
        <v>0</v>
      </c>
      <c r="D94" s="586">
        <f t="shared" si="88"/>
        <v>0</v>
      </c>
      <c r="E94" s="587">
        <f>SUM(E89:E93)</f>
        <v>349</v>
      </c>
      <c r="F94" s="586">
        <f t="shared" si="88"/>
        <v>542</v>
      </c>
      <c r="G94" s="586">
        <f t="shared" si="88"/>
        <v>0</v>
      </c>
      <c r="H94" s="586">
        <f t="shared" si="88"/>
        <v>0</v>
      </c>
      <c r="I94" s="586">
        <f t="shared" si="88"/>
        <v>542</v>
      </c>
      <c r="J94" s="588">
        <f t="shared" si="84"/>
        <v>0.55300859598853869</v>
      </c>
      <c r="K94" s="585">
        <f t="shared" ref="K94:S94" si="89">SUM(K89:K93)</f>
        <v>426</v>
      </c>
      <c r="L94" s="586">
        <f t="shared" si="89"/>
        <v>4</v>
      </c>
      <c r="M94" s="586">
        <f t="shared" si="89"/>
        <v>0</v>
      </c>
      <c r="N94" s="1113">
        <f t="shared" si="89"/>
        <v>430</v>
      </c>
      <c r="O94" s="588">
        <f t="shared" si="85"/>
        <v>-0.20664206642066421</v>
      </c>
      <c r="P94" s="1273">
        <f t="shared" si="89"/>
        <v>416</v>
      </c>
      <c r="Q94" s="1273">
        <f t="shared" si="89"/>
        <v>0</v>
      </c>
      <c r="R94" s="1273">
        <f t="shared" si="89"/>
        <v>0</v>
      </c>
      <c r="S94" s="1273">
        <f t="shared" si="89"/>
        <v>416</v>
      </c>
      <c r="T94" s="668">
        <f t="shared" si="86"/>
        <v>-3.255813953488372E-2</v>
      </c>
      <c r="U94" s="585">
        <f>SUM(U89:U93)</f>
        <v>472</v>
      </c>
      <c r="V94" s="586">
        <f>SUM(V89:V93)</f>
        <v>0</v>
      </c>
      <c r="W94" s="586">
        <f>SUM(W89:W93)</f>
        <v>0</v>
      </c>
      <c r="X94" s="586">
        <f>SUM(X89:X93)</f>
        <v>472</v>
      </c>
      <c r="Y94" s="588">
        <f t="shared" si="77"/>
        <v>0.13461538461538461</v>
      </c>
      <c r="Z94" s="585">
        <f>SUM(Z89:Z93)</f>
        <v>220</v>
      </c>
      <c r="AA94" s="586">
        <f>SUM(AA89:AA93)</f>
        <v>116</v>
      </c>
      <c r="AB94" s="586">
        <f>SUM(AB89:AB93)</f>
        <v>0</v>
      </c>
      <c r="AC94" s="586">
        <f>SUM(AC89:AC93)</f>
        <v>336</v>
      </c>
      <c r="AD94" s="588">
        <f t="shared" si="87"/>
        <v>-0.28813559322033899</v>
      </c>
    </row>
    <row r="95" spans="1:33" customFormat="1" x14ac:dyDescent="0.25">
      <c r="A95" s="1126" t="s">
        <v>404</v>
      </c>
      <c r="B95" s="402"/>
      <c r="C95" s="402"/>
      <c r="D95" s="402"/>
      <c r="E95" s="618"/>
      <c r="F95" s="1145"/>
      <c r="G95" s="402"/>
      <c r="H95" s="402"/>
      <c r="I95" s="617"/>
      <c r="J95" s="618"/>
      <c r="K95" s="619"/>
      <c r="L95" s="617"/>
      <c r="M95" s="617"/>
      <c r="N95" s="1279"/>
      <c r="O95" s="618"/>
      <c r="P95" s="1283"/>
      <c r="Q95" s="1283"/>
      <c r="R95" s="1283"/>
      <c r="S95" s="1283"/>
      <c r="T95" s="1213"/>
      <c r="U95" s="619"/>
      <c r="V95" s="617"/>
      <c r="W95" s="617"/>
      <c r="X95" s="617"/>
      <c r="Y95" s="618"/>
      <c r="Z95" s="619"/>
      <c r="AA95" s="617"/>
      <c r="AB95" s="617"/>
      <c r="AC95" s="617"/>
      <c r="AD95" s="618"/>
    </row>
    <row r="96" spans="1:33" x14ac:dyDescent="0.25">
      <c r="A96" s="1103" t="s">
        <v>660</v>
      </c>
      <c r="B96" s="1153">
        <v>10</v>
      </c>
      <c r="C96" s="1153">
        <v>156</v>
      </c>
      <c r="D96" s="1153">
        <v>0</v>
      </c>
      <c r="E96" s="375">
        <f>SUM(B96:D96)</f>
        <v>166</v>
      </c>
      <c r="F96" s="1157">
        <v>0</v>
      </c>
      <c r="G96" s="1153">
        <v>106</v>
      </c>
      <c r="H96" s="1153">
        <v>0</v>
      </c>
      <c r="I96" s="581">
        <f>SUM(F96:H96)</f>
        <v>106</v>
      </c>
      <c r="J96" s="582">
        <f>IF(E96&gt;0,(I96-E96)/E96,(IF(I96=0,"N/A",100%)))</f>
        <v>-0.36144578313253012</v>
      </c>
      <c r="K96" s="580">
        <v>15</v>
      </c>
      <c r="L96" s="581">
        <v>47</v>
      </c>
      <c r="M96" s="581">
        <v>0</v>
      </c>
      <c r="N96" s="1112">
        <f>SUM(K96:M96)</f>
        <v>62</v>
      </c>
      <c r="O96" s="582">
        <f>IF(I96&gt;0,(N96-I96)/I96,(IF(N96=0,"N/A",100%)))</f>
        <v>-0.41509433962264153</v>
      </c>
      <c r="P96" s="1271">
        <v>57</v>
      </c>
      <c r="Q96" s="1271">
        <v>81</v>
      </c>
      <c r="R96" s="1271">
        <v>0</v>
      </c>
      <c r="S96" s="1271">
        <f>SUM(P96:R96)</f>
        <v>138</v>
      </c>
      <c r="T96" s="616">
        <f>IF(N96&gt;0,(S96-N96)/N96,(IF(S96=0,"N/A",100%)))</f>
        <v>1.2258064516129032</v>
      </c>
      <c r="U96" s="580">
        <v>9</v>
      </c>
      <c r="V96" s="581">
        <v>68</v>
      </c>
      <c r="W96" s="581">
        <v>0</v>
      </c>
      <c r="X96" s="581">
        <f>SUM(U96:W96)</f>
        <v>77</v>
      </c>
      <c r="Y96" s="582">
        <f t="shared" si="77"/>
        <v>-0.4420289855072464</v>
      </c>
      <c r="Z96" s="580">
        <v>0</v>
      </c>
      <c r="AA96" s="581">
        <v>185</v>
      </c>
      <c r="AB96" s="581">
        <v>0</v>
      </c>
      <c r="AC96" s="581">
        <f>SUM(Z96:AB96)</f>
        <v>185</v>
      </c>
      <c r="AD96" s="582">
        <f t="shared" ref="AD96:AD99" si="90">IF(X96&gt;0,(AC96-X96)/X96,(IF(AC96=0,"N/A",100%)))</f>
        <v>1.4025974025974026</v>
      </c>
      <c r="AE96" s="328"/>
      <c r="AF96" s="328"/>
      <c r="AG96" s="328"/>
    </row>
    <row r="97" spans="1:34" x14ac:dyDescent="0.25">
      <c r="A97" s="1103" t="s">
        <v>997</v>
      </c>
      <c r="B97" s="1153">
        <v>0</v>
      </c>
      <c r="C97" s="1153">
        <v>37</v>
      </c>
      <c r="D97" s="1153">
        <v>0</v>
      </c>
      <c r="E97" s="375">
        <f>SUM(B97:D97)</f>
        <v>37</v>
      </c>
      <c r="F97" s="1157">
        <v>0</v>
      </c>
      <c r="G97" s="1153">
        <v>42</v>
      </c>
      <c r="H97" s="1153">
        <v>0</v>
      </c>
      <c r="I97" s="581">
        <f>SUM(F97:H97)</f>
        <v>42</v>
      </c>
      <c r="J97" s="582">
        <f>IF(E97&gt;0,(I97-E97)/E97,(IF(I97=0,"N/A",100%)))</f>
        <v>0.13513513513513514</v>
      </c>
      <c r="K97" s="580">
        <v>0</v>
      </c>
      <c r="L97" s="581">
        <v>63</v>
      </c>
      <c r="M97" s="581">
        <v>0</v>
      </c>
      <c r="N97" s="1112">
        <f>SUM(K97:M97)</f>
        <v>63</v>
      </c>
      <c r="O97" s="582">
        <f>IF(I97&gt;0,(N97-I97)/I97,(IF(N97=0,"N/A",100%)))</f>
        <v>0.5</v>
      </c>
      <c r="P97" s="1271">
        <v>0</v>
      </c>
      <c r="Q97" s="1271">
        <v>51</v>
      </c>
      <c r="R97" s="1271">
        <v>0</v>
      </c>
      <c r="S97" s="1271">
        <f>SUM(P97:R97)</f>
        <v>51</v>
      </c>
      <c r="T97" s="616">
        <f>IF(N97&gt;0,(S97-N97)/N97,(IF(S97=0,"N/A",100%)))</f>
        <v>-0.19047619047619047</v>
      </c>
      <c r="U97" s="580">
        <v>0</v>
      </c>
      <c r="V97" s="581">
        <v>75</v>
      </c>
      <c r="W97" s="581">
        <v>0</v>
      </c>
      <c r="X97" s="581">
        <f>SUM(U97:W97)</f>
        <v>75</v>
      </c>
      <c r="Y97" s="582">
        <f t="shared" si="77"/>
        <v>0.47058823529411764</v>
      </c>
      <c r="Z97" s="580">
        <v>0</v>
      </c>
      <c r="AA97" s="581">
        <v>15</v>
      </c>
      <c r="AB97" s="581">
        <v>0</v>
      </c>
      <c r="AC97" s="581">
        <f>SUM(Z97:AB97)</f>
        <v>15</v>
      </c>
      <c r="AD97" s="582">
        <f t="shared" si="90"/>
        <v>-0.8</v>
      </c>
      <c r="AE97" s="328"/>
      <c r="AF97" s="328"/>
      <c r="AG97" s="328"/>
    </row>
    <row r="98" spans="1:34" s="575" customFormat="1" ht="13.8" x14ac:dyDescent="0.25">
      <c r="A98" s="1104" t="s">
        <v>961</v>
      </c>
      <c r="B98" s="586">
        <f t="shared" ref="B98:I98" si="91">+B97+B96</f>
        <v>10</v>
      </c>
      <c r="C98" s="586">
        <f t="shared" si="91"/>
        <v>193</v>
      </c>
      <c r="D98" s="586">
        <f t="shared" si="91"/>
        <v>0</v>
      </c>
      <c r="E98" s="587">
        <f t="shared" si="91"/>
        <v>203</v>
      </c>
      <c r="F98" s="586">
        <f t="shared" si="91"/>
        <v>0</v>
      </c>
      <c r="G98" s="586">
        <f t="shared" si="91"/>
        <v>148</v>
      </c>
      <c r="H98" s="586">
        <f t="shared" si="91"/>
        <v>0</v>
      </c>
      <c r="I98" s="586">
        <f t="shared" si="91"/>
        <v>148</v>
      </c>
      <c r="J98" s="588">
        <f>IF(E98&gt;0,(I98-E98)/E98,(IF(I98=0,"N/A",100%)))</f>
        <v>-0.27093596059113301</v>
      </c>
      <c r="K98" s="585">
        <f t="shared" ref="K98:S98" si="92">+K97+K96</f>
        <v>15</v>
      </c>
      <c r="L98" s="586">
        <f t="shared" si="92"/>
        <v>110</v>
      </c>
      <c r="M98" s="586">
        <f t="shared" si="92"/>
        <v>0</v>
      </c>
      <c r="N98" s="1113">
        <f t="shared" si="92"/>
        <v>125</v>
      </c>
      <c r="O98" s="588">
        <f>IF(I98&gt;0,(N98-I98)/I98,(IF(N98=0,"N/A",100%)))</f>
        <v>-0.1554054054054054</v>
      </c>
      <c r="P98" s="1273">
        <f t="shared" si="92"/>
        <v>57</v>
      </c>
      <c r="Q98" s="1273">
        <f t="shared" si="92"/>
        <v>132</v>
      </c>
      <c r="R98" s="1273">
        <f t="shared" si="92"/>
        <v>0</v>
      </c>
      <c r="S98" s="1273">
        <f t="shared" si="92"/>
        <v>189</v>
      </c>
      <c r="T98" s="668">
        <f>IF(N98&gt;0,(S98-N98)/N98,(IF(S98=0,"N/A",100%)))</f>
        <v>0.51200000000000001</v>
      </c>
      <c r="U98" s="585">
        <f>+U97+U96</f>
        <v>9</v>
      </c>
      <c r="V98" s="586">
        <f>+V97+V96</f>
        <v>143</v>
      </c>
      <c r="W98" s="586">
        <f>+W97+W96</f>
        <v>0</v>
      </c>
      <c r="X98" s="586">
        <f>+X97+X96</f>
        <v>152</v>
      </c>
      <c r="Y98" s="588">
        <f t="shared" si="77"/>
        <v>-0.19576719576719576</v>
      </c>
      <c r="Z98" s="585">
        <f>+Z97+Z96</f>
        <v>0</v>
      </c>
      <c r="AA98" s="586">
        <f>+AA97+AA96</f>
        <v>200</v>
      </c>
      <c r="AB98" s="586">
        <f>+AB97+AB96</f>
        <v>0</v>
      </c>
      <c r="AC98" s="586">
        <f>+AC97+AC96</f>
        <v>200</v>
      </c>
      <c r="AD98" s="588">
        <f t="shared" si="90"/>
        <v>0.31578947368421051</v>
      </c>
    </row>
    <row r="99" spans="1:34" s="596" customFormat="1" ht="16.2" thickBot="1" x14ac:dyDescent="0.35">
      <c r="A99" s="1106" t="s">
        <v>429</v>
      </c>
      <c r="B99" s="1123">
        <f t="shared" ref="B99:I99" si="93">+B83+B87+B94+B98</f>
        <v>785</v>
      </c>
      <c r="C99" s="1123">
        <f t="shared" si="93"/>
        <v>256</v>
      </c>
      <c r="D99" s="1123">
        <f t="shared" si="93"/>
        <v>57</v>
      </c>
      <c r="E99" s="1142">
        <f t="shared" si="93"/>
        <v>1098</v>
      </c>
      <c r="F99" s="1123">
        <f t="shared" si="93"/>
        <v>983</v>
      </c>
      <c r="G99" s="1123">
        <f t="shared" si="93"/>
        <v>257</v>
      </c>
      <c r="H99" s="1123">
        <f t="shared" si="93"/>
        <v>42</v>
      </c>
      <c r="I99" s="1123">
        <f t="shared" si="93"/>
        <v>1282</v>
      </c>
      <c r="J99" s="1124">
        <f>IF(E99&gt;0,(I99-E99)/E99,(IF(I99=0,"N/A",100%)))</f>
        <v>0.16757741347905283</v>
      </c>
      <c r="K99" s="1141">
        <f t="shared" ref="K99:S99" si="94">+K83+K87+K94+K98</f>
        <v>1054</v>
      </c>
      <c r="L99" s="1123">
        <f t="shared" si="94"/>
        <v>141</v>
      </c>
      <c r="M99" s="1123">
        <f t="shared" si="94"/>
        <v>63</v>
      </c>
      <c r="N99" s="1143">
        <f t="shared" si="94"/>
        <v>1258</v>
      </c>
      <c r="O99" s="1124">
        <f>IF(I99&gt;0,(N99-I99)/I99,(IF(N99=0,"N/A",100%)))</f>
        <v>-1.8720748829953199E-2</v>
      </c>
      <c r="P99" s="1275">
        <f t="shared" si="94"/>
        <v>1021</v>
      </c>
      <c r="Q99" s="1275">
        <f t="shared" si="94"/>
        <v>184</v>
      </c>
      <c r="R99" s="1275">
        <f t="shared" si="94"/>
        <v>45</v>
      </c>
      <c r="S99" s="1275">
        <f t="shared" si="94"/>
        <v>1250</v>
      </c>
      <c r="T99" s="1276">
        <f>IF(N99&gt;0,(S99-N99)/N99,(IF(S99=0,"N/A",100%)))</f>
        <v>-6.3593004769475362E-3</v>
      </c>
      <c r="U99" s="1141">
        <f>+U83+U87+U94+U98</f>
        <v>994</v>
      </c>
      <c r="V99" s="1123">
        <f>+V83+V87+V94+V98</f>
        <v>155</v>
      </c>
      <c r="W99" s="1123">
        <f>+W83+W87+W94+W98</f>
        <v>69</v>
      </c>
      <c r="X99" s="1123">
        <f>+X83+X87+X94+X98</f>
        <v>1218</v>
      </c>
      <c r="Y99" s="1124">
        <f t="shared" si="77"/>
        <v>-2.5600000000000001E-2</v>
      </c>
      <c r="Z99" s="1141">
        <f>+Z83+Z87+Z94+Z98</f>
        <v>419</v>
      </c>
      <c r="AA99" s="1123">
        <f>+AA83+AA87+AA94+AA98</f>
        <v>566</v>
      </c>
      <c r="AB99" s="1123">
        <f>+AB83+AB87+AB94+AB98</f>
        <v>36</v>
      </c>
      <c r="AC99" s="1123">
        <f>+AC83+AC87+AC94+AC98</f>
        <v>1021</v>
      </c>
      <c r="AD99" s="1124">
        <f t="shared" si="90"/>
        <v>-0.16174055829228243</v>
      </c>
    </row>
    <row r="100" spans="1:34" ht="14.25" customHeight="1" x14ac:dyDescent="0.25">
      <c r="A100" s="1127"/>
      <c r="B100" s="604"/>
      <c r="C100" s="604"/>
      <c r="D100" s="604"/>
      <c r="E100" s="604"/>
      <c r="F100" s="604"/>
      <c r="G100" s="604"/>
      <c r="H100" s="604"/>
      <c r="I100" s="604"/>
      <c r="J100" s="604"/>
      <c r="K100" s="335"/>
      <c r="L100" s="335"/>
      <c r="M100" s="335"/>
      <c r="N100" s="822"/>
      <c r="O100" s="822"/>
      <c r="P100" s="822"/>
      <c r="Q100" s="822"/>
      <c r="R100" s="822"/>
      <c r="S100" s="822"/>
      <c r="T100" s="822"/>
      <c r="U100" s="822"/>
      <c r="V100" s="822"/>
      <c r="W100" s="822"/>
      <c r="X100" s="822"/>
      <c r="Y100" s="1128"/>
      <c r="Z100" s="822"/>
      <c r="AA100" s="822"/>
      <c r="AB100" s="822"/>
      <c r="AC100" s="822"/>
      <c r="AD100" s="1128"/>
      <c r="AE100" s="328"/>
      <c r="AF100" s="328"/>
      <c r="AG100" s="328"/>
    </row>
    <row r="101" spans="1:34" ht="14.25" customHeight="1" thickBot="1" x14ac:dyDescent="0.3">
      <c r="A101" s="1127"/>
      <c r="B101" s="604"/>
      <c r="C101" s="604"/>
      <c r="D101" s="604"/>
      <c r="E101" s="604"/>
      <c r="F101" s="604"/>
      <c r="G101" s="604"/>
      <c r="H101" s="604"/>
      <c r="I101" s="604"/>
      <c r="J101" s="604"/>
      <c r="K101" s="335"/>
      <c r="L101" s="335"/>
      <c r="M101" s="335"/>
      <c r="N101" s="822"/>
      <c r="O101" s="822"/>
      <c r="P101" s="822"/>
      <c r="Q101" s="822"/>
      <c r="R101" s="822"/>
      <c r="S101" s="822"/>
      <c r="T101" s="822"/>
      <c r="U101" s="822"/>
      <c r="V101" s="822"/>
      <c r="W101" s="822"/>
      <c r="X101" s="822"/>
      <c r="Y101" s="1128"/>
      <c r="Z101" s="822"/>
      <c r="AA101" s="822"/>
      <c r="AB101" s="822"/>
      <c r="AC101" s="822"/>
      <c r="AD101" s="1128"/>
      <c r="AE101" s="328"/>
      <c r="AF101" s="328"/>
      <c r="AG101" s="328"/>
    </row>
    <row r="102" spans="1:34" x14ac:dyDescent="0.25">
      <c r="A102" s="1133" t="s">
        <v>930</v>
      </c>
      <c r="B102" s="1134"/>
      <c r="C102" s="1134"/>
      <c r="D102" s="1134"/>
      <c r="E102" s="1150"/>
      <c r="F102" s="1147"/>
      <c r="G102" s="1134"/>
      <c r="H102" s="1134"/>
      <c r="I102" s="1134"/>
      <c r="J102" s="1150"/>
      <c r="K102" s="1148"/>
      <c r="L102" s="1135"/>
      <c r="M102" s="1135"/>
      <c r="N102" s="1280"/>
      <c r="O102" s="1136"/>
      <c r="P102" s="1148"/>
      <c r="Q102" s="1135"/>
      <c r="R102" s="1135"/>
      <c r="S102" s="1135"/>
      <c r="T102" s="1136"/>
      <c r="U102" s="1148"/>
      <c r="V102" s="1135"/>
      <c r="W102" s="1135"/>
      <c r="X102" s="1135"/>
      <c r="Y102" s="1136"/>
      <c r="Z102" s="1148"/>
      <c r="AA102" s="1135"/>
      <c r="AB102" s="1135"/>
      <c r="AC102" s="1135"/>
      <c r="AD102" s="1136"/>
      <c r="AE102" s="328"/>
      <c r="AF102" s="328"/>
      <c r="AG102" s="328"/>
    </row>
    <row r="103" spans="1:34" x14ac:dyDescent="0.25">
      <c r="A103" s="1103" t="s">
        <v>998</v>
      </c>
      <c r="B103" s="1153">
        <v>0</v>
      </c>
      <c r="C103" s="1153">
        <v>0</v>
      </c>
      <c r="D103" s="1153">
        <v>0</v>
      </c>
      <c r="E103" s="375">
        <f>SUM(B103:D103)</f>
        <v>0</v>
      </c>
      <c r="F103" s="1157">
        <v>0</v>
      </c>
      <c r="G103" s="1153">
        <v>0</v>
      </c>
      <c r="H103" s="1153">
        <v>0</v>
      </c>
      <c r="I103" s="581">
        <f>SUM(F103:H103)</f>
        <v>0</v>
      </c>
      <c r="J103" s="582" t="str">
        <f>IF(E103&gt;0,(I103-E103)/E103,(IF(I103=0,"N/A",100%)))</f>
        <v>N/A</v>
      </c>
      <c r="K103" s="580">
        <v>0</v>
      </c>
      <c r="L103" s="581">
        <v>0</v>
      </c>
      <c r="M103" s="581">
        <v>0</v>
      </c>
      <c r="N103" s="1112">
        <f>SUM(K103:M103)</f>
        <v>0</v>
      </c>
      <c r="O103" s="582" t="str">
        <f>IF(I103&gt;0,(N103-I103)/I103,(IF(N103=0,"N/A",100%)))</f>
        <v>N/A</v>
      </c>
      <c r="P103" s="580">
        <v>0</v>
      </c>
      <c r="Q103" s="581">
        <v>0</v>
      </c>
      <c r="R103" s="581">
        <v>0</v>
      </c>
      <c r="S103" s="581">
        <f>SUM(P103:R103)</f>
        <v>0</v>
      </c>
      <c r="T103" s="582" t="str">
        <f>IF(N103&gt;0,(S103-N103)/N103,(IF(S103=0,"N/A",100%)))</f>
        <v>N/A</v>
      </c>
      <c r="U103" s="580">
        <v>0</v>
      </c>
      <c r="V103" s="581">
        <v>0</v>
      </c>
      <c r="W103" s="581">
        <v>0</v>
      </c>
      <c r="X103" s="581">
        <f>SUM(U103:W103)</f>
        <v>0</v>
      </c>
      <c r="Y103" s="582" t="str">
        <f>IF(S103&gt;0,(X103-S103)/S103,(IF(X103=0,"N/A",100%)))</f>
        <v>N/A</v>
      </c>
      <c r="Z103" s="580">
        <v>0</v>
      </c>
      <c r="AA103" s="581">
        <v>0</v>
      </c>
      <c r="AB103" s="581">
        <v>0</v>
      </c>
      <c r="AC103" s="581">
        <f>SUM(Z103:AB103)</f>
        <v>0</v>
      </c>
      <c r="AD103" s="582" t="str">
        <f>IF(X103&gt;0,(AC103-X103)/X103,(IF(AC103=0,"N/A",100%)))</f>
        <v>N/A</v>
      </c>
      <c r="AE103" s="328"/>
      <c r="AF103" s="328"/>
      <c r="AG103" s="328"/>
    </row>
    <row r="104" spans="1:34" x14ac:dyDescent="0.25">
      <c r="A104" s="1103" t="s">
        <v>1001</v>
      </c>
      <c r="B104" s="1153">
        <v>0</v>
      </c>
      <c r="C104" s="1153">
        <v>6</v>
      </c>
      <c r="D104" s="1153">
        <v>0</v>
      </c>
      <c r="E104" s="375">
        <f>SUM(B104:D104)</f>
        <v>6</v>
      </c>
      <c r="F104" s="1157">
        <v>0</v>
      </c>
      <c r="G104" s="1153">
        <v>12</v>
      </c>
      <c r="H104" s="1153">
        <v>0</v>
      </c>
      <c r="I104" s="581">
        <f>SUM(F104:H104)</f>
        <v>12</v>
      </c>
      <c r="J104" s="582">
        <f>IF(E104&gt;0,(I104-E104)/E104,(IF(I104=0,"N/A",100%)))</f>
        <v>1</v>
      </c>
      <c r="K104" s="580">
        <v>0</v>
      </c>
      <c r="L104" s="581">
        <v>0</v>
      </c>
      <c r="M104" s="581">
        <v>0</v>
      </c>
      <c r="N104" s="1112">
        <f>SUM(K104:M104)</f>
        <v>0</v>
      </c>
      <c r="O104" s="582">
        <f>IF(I104&gt;0,(N104-I104)/I104,(IF(N104=0,"N/A",100%)))</f>
        <v>-1</v>
      </c>
      <c r="P104" s="580">
        <v>0</v>
      </c>
      <c r="Q104" s="581">
        <v>36</v>
      </c>
      <c r="R104" s="581">
        <v>0</v>
      </c>
      <c r="S104" s="581">
        <f>SUM(P104:R104)</f>
        <v>36</v>
      </c>
      <c r="T104" s="582">
        <f>IF(N104&gt;0,(S104-N104)/N104,(IF(S104=0,"N/A",100%)))</f>
        <v>1</v>
      </c>
      <c r="U104" s="580">
        <v>0</v>
      </c>
      <c r="V104" s="581">
        <v>32</v>
      </c>
      <c r="W104" s="581">
        <v>0</v>
      </c>
      <c r="X104" s="581">
        <f>SUM(U104:W104)</f>
        <v>32</v>
      </c>
      <c r="Y104" s="582">
        <f>IF(S104&gt;0,(X104-S104)/S104,(IF(X104=0,"N/A",100%)))</f>
        <v>-0.1111111111111111</v>
      </c>
      <c r="Z104" s="580">
        <v>0</v>
      </c>
      <c r="AA104" s="581">
        <v>15</v>
      </c>
      <c r="AB104" s="581">
        <v>0</v>
      </c>
      <c r="AC104" s="581">
        <f>SUM(Z104:AB104)</f>
        <v>15</v>
      </c>
      <c r="AD104" s="582">
        <f>IF(X104&gt;0,(AC104-X104)/X104,(IF(AC104=0,"N/A",100%)))</f>
        <v>-0.53125</v>
      </c>
      <c r="AE104" s="328"/>
      <c r="AF104" s="328"/>
      <c r="AG104" s="328"/>
    </row>
    <row r="105" spans="1:34" x14ac:dyDescent="0.25">
      <c r="A105" s="1129" t="s">
        <v>1143</v>
      </c>
      <c r="B105" s="1161">
        <v>32</v>
      </c>
      <c r="C105" s="1161">
        <v>0</v>
      </c>
      <c r="D105" s="1161">
        <v>0</v>
      </c>
      <c r="E105" s="375">
        <f>SUM(B105:D105)</f>
        <v>32</v>
      </c>
      <c r="F105" s="1157">
        <v>169</v>
      </c>
      <c r="G105" s="1153">
        <v>0</v>
      </c>
      <c r="H105" s="1153">
        <v>0</v>
      </c>
      <c r="I105" s="581">
        <f>SUM(F105:H105)</f>
        <v>169</v>
      </c>
      <c r="J105" s="582">
        <f>IF(E105&gt;0,(I105-E105)/E105,(IF(I105=0,"N/A",100%)))</f>
        <v>4.28125</v>
      </c>
      <c r="K105" s="580">
        <v>184</v>
      </c>
      <c r="L105" s="581">
        <v>0</v>
      </c>
      <c r="M105" s="581">
        <v>0</v>
      </c>
      <c r="N105" s="1112">
        <f>SUM(K105:M105)</f>
        <v>184</v>
      </c>
      <c r="O105" s="582">
        <f>IF(I105&gt;0,(N105-I105)/I105,(IF(N105=0,"N/A",100%)))</f>
        <v>8.8757396449704137E-2</v>
      </c>
      <c r="P105" s="580">
        <v>175</v>
      </c>
      <c r="Q105" s="581">
        <v>0</v>
      </c>
      <c r="R105" s="581">
        <v>0</v>
      </c>
      <c r="S105" s="581">
        <f>SUM(P105:R105)</f>
        <v>175</v>
      </c>
      <c r="T105" s="582">
        <f>IF(N105&gt;0,(S105-N105)/N105,(IF(S105=0,"N/A",100%)))</f>
        <v>-4.8913043478260872E-2</v>
      </c>
      <c r="U105" s="580">
        <v>64</v>
      </c>
      <c r="V105" s="581">
        <v>0</v>
      </c>
      <c r="W105" s="581">
        <v>0</v>
      </c>
      <c r="X105" s="581">
        <f>SUM(U105:W105)</f>
        <v>64</v>
      </c>
      <c r="Y105" s="582">
        <f>IF(S105&gt;0,(X105-S105)/S105,(IF(X105=0,"N/A",100%)))</f>
        <v>-0.63428571428571423</v>
      </c>
      <c r="Z105" s="580">
        <v>59</v>
      </c>
      <c r="AA105" s="581">
        <v>0</v>
      </c>
      <c r="AB105" s="581">
        <v>0</v>
      </c>
      <c r="AC105" s="581">
        <f>SUM(Z105:AB105)</f>
        <v>59</v>
      </c>
      <c r="AD105" s="582">
        <f>IF(X105&gt;0,(AC105-X105)/X105,(IF(AC105=0,"N/A",100%)))</f>
        <v>-7.8125E-2</v>
      </c>
      <c r="AE105" s="328"/>
      <c r="AF105" s="328"/>
      <c r="AG105" s="328"/>
    </row>
    <row r="106" spans="1:34" x14ac:dyDescent="0.25">
      <c r="A106" s="1103" t="s">
        <v>412</v>
      </c>
      <c r="B106" s="1153">
        <v>0</v>
      </c>
      <c r="C106" s="1153">
        <v>0</v>
      </c>
      <c r="D106" s="1153">
        <v>0</v>
      </c>
      <c r="E106" s="375">
        <f>SUM(B106:D106)</f>
        <v>0</v>
      </c>
      <c r="F106" s="1157">
        <v>3</v>
      </c>
      <c r="G106" s="1153">
        <v>0</v>
      </c>
      <c r="H106" s="1153">
        <v>0</v>
      </c>
      <c r="I106" s="581">
        <f>SUM(F106:H106)</f>
        <v>3</v>
      </c>
      <c r="J106" s="582">
        <f>IF(E106&gt;0,(I106-E106)/E106,(IF(I106=0,"N/A",100%)))</f>
        <v>1</v>
      </c>
      <c r="K106" s="580">
        <v>0</v>
      </c>
      <c r="L106" s="581">
        <v>0</v>
      </c>
      <c r="M106" s="581">
        <v>0</v>
      </c>
      <c r="N106" s="1112">
        <f>SUM(K106:M106)</f>
        <v>0</v>
      </c>
      <c r="O106" s="582">
        <f>IF(I106&gt;0,(N106-I106)/I106,(IF(N106=0,"N/A",100%)))</f>
        <v>-1</v>
      </c>
      <c r="P106" s="580">
        <v>0</v>
      </c>
      <c r="Q106" s="581">
        <v>0</v>
      </c>
      <c r="R106" s="581">
        <v>0</v>
      </c>
      <c r="S106" s="581">
        <f>SUM(P106:R106)</f>
        <v>0</v>
      </c>
      <c r="T106" s="582" t="str">
        <f>IF(N106&gt;0,(S106-N106)/N106,(IF(S106=0,"N/A",100%)))</f>
        <v>N/A</v>
      </c>
      <c r="U106" s="580">
        <v>0</v>
      </c>
      <c r="V106" s="581">
        <v>0</v>
      </c>
      <c r="W106" s="581">
        <v>0</v>
      </c>
      <c r="X106" s="581">
        <f>SUM(U106:W106)</f>
        <v>0</v>
      </c>
      <c r="Y106" s="582" t="str">
        <f>IF(S106&gt;0,(X106-S106)/S106,(IF(X106=0,"N/A",100%)))</f>
        <v>N/A</v>
      </c>
      <c r="Z106" s="580">
        <v>0</v>
      </c>
      <c r="AA106" s="581">
        <v>0</v>
      </c>
      <c r="AB106" s="581">
        <v>0</v>
      </c>
      <c r="AC106" s="581">
        <f>SUM(Z106:AB106)</f>
        <v>0</v>
      </c>
      <c r="AD106" s="582" t="str">
        <f>IF(X106&gt;0,(AC106-X106)/X106,(IF(AC106=0,"N/A",100%)))</f>
        <v>N/A</v>
      </c>
      <c r="AE106" s="328"/>
      <c r="AF106" s="328"/>
      <c r="AG106" s="328"/>
    </row>
    <row r="107" spans="1:34" s="575" customFormat="1" ht="14.4" thickBot="1" x14ac:dyDescent="0.3">
      <c r="A107" s="1137" t="s">
        <v>961</v>
      </c>
      <c r="B107" s="1138">
        <f t="shared" ref="B107:H107" si="95">SUM(B103:B106)</f>
        <v>32</v>
      </c>
      <c r="C107" s="1138">
        <f t="shared" si="95"/>
        <v>6</v>
      </c>
      <c r="D107" s="1138">
        <f t="shared" si="95"/>
        <v>0</v>
      </c>
      <c r="E107" s="1218">
        <f t="shared" si="95"/>
        <v>38</v>
      </c>
      <c r="F107" s="1149">
        <f t="shared" si="95"/>
        <v>172</v>
      </c>
      <c r="G107" s="1138">
        <f t="shared" si="95"/>
        <v>12</v>
      </c>
      <c r="H107" s="1138">
        <f t="shared" si="95"/>
        <v>0</v>
      </c>
      <c r="I107" s="1149">
        <f>SUM(I103:I106)</f>
        <v>184</v>
      </c>
      <c r="J107" s="1139">
        <f>IF(E107&gt;0,(I107-E107)/E107,(IF(I107=0,"N/A",100%)))</f>
        <v>3.8421052631578947</v>
      </c>
      <c r="K107" s="1149">
        <f t="shared" ref="K107:S107" si="96">SUM(K103:K106)</f>
        <v>184</v>
      </c>
      <c r="L107" s="1138">
        <f t="shared" si="96"/>
        <v>0</v>
      </c>
      <c r="M107" s="1138">
        <f t="shared" si="96"/>
        <v>0</v>
      </c>
      <c r="N107" s="1281">
        <f t="shared" si="96"/>
        <v>184</v>
      </c>
      <c r="O107" s="1139">
        <f>IF(I107&gt;0,(N107-I107)/I107,(IF(N107=0,"N/A",100%)))</f>
        <v>0</v>
      </c>
      <c r="P107" s="1149">
        <f t="shared" si="96"/>
        <v>175</v>
      </c>
      <c r="Q107" s="1138">
        <f t="shared" si="96"/>
        <v>36</v>
      </c>
      <c r="R107" s="1138">
        <f t="shared" si="96"/>
        <v>0</v>
      </c>
      <c r="S107" s="1138">
        <f t="shared" si="96"/>
        <v>211</v>
      </c>
      <c r="T107" s="1139">
        <f>IF(N107&gt;0,(S107-N107)/N107,(IF(S107=0,"N/A",100%)))</f>
        <v>0.14673913043478262</v>
      </c>
      <c r="U107" s="1149">
        <f>SUM(U103:U106)</f>
        <v>64</v>
      </c>
      <c r="V107" s="1138">
        <f>SUM(V103:V106)</f>
        <v>32</v>
      </c>
      <c r="W107" s="1138">
        <f>SUM(W103:W106)</f>
        <v>0</v>
      </c>
      <c r="X107" s="1138">
        <f>SUM(X103:X106)</f>
        <v>96</v>
      </c>
      <c r="Y107" s="1139">
        <f>IF(S107&gt;0,(X107-S107)/S107,(IF(X107=0,"N/A",100%)))</f>
        <v>-0.54502369668246442</v>
      </c>
      <c r="Z107" s="1149">
        <f>SUM(Z103:Z106)</f>
        <v>59</v>
      </c>
      <c r="AA107" s="1138">
        <f>SUM(AA103:AA106)</f>
        <v>15</v>
      </c>
      <c r="AB107" s="1138">
        <f>SUM(AB103:AB106)</f>
        <v>0</v>
      </c>
      <c r="AC107" s="1138">
        <f>SUM(AC103:AC106)</f>
        <v>74</v>
      </c>
      <c r="AD107" s="1139">
        <f>IF(X107&gt;0,(AC107-X107)/X107,(IF(AC107=0,"N/A",100%)))</f>
        <v>-0.22916666666666666</v>
      </c>
    </row>
    <row r="108" spans="1:34" s="575" customFormat="1" ht="13.8" x14ac:dyDescent="0.25">
      <c r="A108" s="1204"/>
      <c r="B108" s="1205"/>
      <c r="C108" s="1205"/>
      <c r="D108" s="1205"/>
      <c r="E108" s="1205"/>
      <c r="F108" s="1204"/>
      <c r="G108" s="1204"/>
      <c r="H108" s="1204"/>
      <c r="I108" s="1206"/>
      <c r="J108" s="1207"/>
      <c r="K108" s="1206"/>
      <c r="L108" s="1206"/>
      <c r="M108" s="1206"/>
      <c r="N108" s="1206"/>
      <c r="O108" s="1207"/>
      <c r="P108" s="1206"/>
      <c r="Q108" s="1206"/>
      <c r="R108" s="1206"/>
      <c r="S108" s="1206"/>
      <c r="T108" s="1207"/>
      <c r="U108" s="1206"/>
      <c r="V108" s="1206"/>
      <c r="W108" s="1206"/>
      <c r="X108" s="1206"/>
      <c r="Y108" s="1207"/>
      <c r="Z108" s="1206"/>
      <c r="AA108" s="1206"/>
      <c r="AB108" s="1206"/>
      <c r="AC108" s="1206"/>
      <c r="AD108" s="1207"/>
    </row>
    <row r="109" spans="1:34" s="575" customFormat="1" ht="14.4" thickBot="1" x14ac:dyDescent="0.3">
      <c r="A109" s="633"/>
      <c r="B109" s="633"/>
      <c r="C109" s="633"/>
      <c r="D109" s="633"/>
      <c r="E109" s="634"/>
      <c r="F109" s="633"/>
      <c r="G109" s="633"/>
      <c r="H109" s="633"/>
      <c r="I109" s="634"/>
      <c r="J109" s="635"/>
      <c r="K109" s="634"/>
      <c r="L109" s="634"/>
      <c r="M109" s="634"/>
      <c r="N109" s="634"/>
      <c r="O109" s="635"/>
      <c r="P109" s="634"/>
      <c r="Q109" s="634"/>
      <c r="R109" s="634"/>
      <c r="S109" s="634"/>
      <c r="T109" s="635"/>
      <c r="U109" s="634"/>
      <c r="V109" s="634"/>
      <c r="W109" s="634"/>
      <c r="X109" s="634"/>
      <c r="Y109" s="635"/>
      <c r="Z109" s="634"/>
      <c r="AA109" s="634"/>
      <c r="AB109" s="634"/>
      <c r="AC109" s="634"/>
      <c r="AD109" s="635"/>
    </row>
    <row r="110" spans="1:34" s="639" customFormat="1" ht="17.399999999999999" thickBot="1" x14ac:dyDescent="0.35">
      <c r="A110" s="1130" t="s">
        <v>949</v>
      </c>
      <c r="B110" s="1131">
        <f t="shared" ref="B110:I110" si="97">+B107+B99+B74+B38+B21</f>
        <v>1980</v>
      </c>
      <c r="C110" s="1131">
        <f t="shared" si="97"/>
        <v>1875</v>
      </c>
      <c r="D110" s="1131">
        <f t="shared" si="97"/>
        <v>903</v>
      </c>
      <c r="E110" s="1152">
        <f>+E107+E99+E74+E38+E21</f>
        <v>4758</v>
      </c>
      <c r="F110" s="1131">
        <f t="shared" si="97"/>
        <v>2153</v>
      </c>
      <c r="G110" s="1131">
        <f t="shared" si="97"/>
        <v>1665</v>
      </c>
      <c r="H110" s="1131">
        <f t="shared" si="97"/>
        <v>870</v>
      </c>
      <c r="I110" s="1131">
        <f t="shared" si="97"/>
        <v>4688</v>
      </c>
      <c r="J110" s="1151">
        <f>IF(E110&gt;0,(I110-E110)/E110,(IF(I110=0,"N/A",100%)))</f>
        <v>-1.4712063892391762E-2</v>
      </c>
      <c r="K110" s="1131">
        <f t="shared" ref="K110:S110" si="98">+K107+K99+K74+K38+K21</f>
        <v>2598</v>
      </c>
      <c r="L110" s="1131">
        <f t="shared" si="98"/>
        <v>1428</v>
      </c>
      <c r="M110" s="1131">
        <f t="shared" si="98"/>
        <v>1131</v>
      </c>
      <c r="N110" s="1131">
        <f t="shared" si="98"/>
        <v>5157</v>
      </c>
      <c r="O110" s="1132">
        <f>IF(I110&gt;0,(N110-I110)/I110,(IF(N110=0,"N/A",100%)))</f>
        <v>0.10004266211604096</v>
      </c>
      <c r="P110" s="1285">
        <f t="shared" si="98"/>
        <v>2505</v>
      </c>
      <c r="Q110" s="1131">
        <f t="shared" si="98"/>
        <v>1563</v>
      </c>
      <c r="R110" s="1131">
        <f t="shared" si="98"/>
        <v>1113</v>
      </c>
      <c r="S110" s="1131">
        <f t="shared" si="98"/>
        <v>5181</v>
      </c>
      <c r="T110" s="1132">
        <f>IF(N110&gt;0,(S110-N110)/N110,(IF(S110=0,"N/A",100%)))</f>
        <v>4.6538685282140778E-3</v>
      </c>
      <c r="U110" s="1285">
        <f>+U107+U99+U74+U38+U21</f>
        <v>2260</v>
      </c>
      <c r="V110" s="1131">
        <f>+V107+V99+V74+V38+V21</f>
        <v>2061</v>
      </c>
      <c r="W110" s="1131">
        <f>+W107+W99+W74+W38+W21</f>
        <v>1143</v>
      </c>
      <c r="X110" s="1131">
        <f>+X107+X99+X74+X38+X21</f>
        <v>5464</v>
      </c>
      <c r="Y110" s="1132">
        <f>IF(S110&gt;0,(X110-S110)/S110,(IF(X110=0,"N/A",100%)))</f>
        <v>5.4622659718201121E-2</v>
      </c>
      <c r="Z110" s="1285">
        <f>+Z107+Z99+Z74+Z38+Z21</f>
        <v>1019</v>
      </c>
      <c r="AA110" s="1131">
        <f>+AA107+AA99+AA74+AA38+AA21</f>
        <v>2812</v>
      </c>
      <c r="AB110" s="1131">
        <f>+AB107+AB99+AB74+AB38+AB21</f>
        <v>984</v>
      </c>
      <c r="AC110" s="1131">
        <f>+AC107+AC99+AC74+AC38+AC21</f>
        <v>4815</v>
      </c>
      <c r="AD110" s="1132">
        <f>IF(X110&gt;0,(AC110-X110)/X110,(IF(AC110=0,"N/A",100%)))</f>
        <v>-0.1187774524158126</v>
      </c>
    </row>
    <row r="111" spans="1:34" x14ac:dyDescent="0.25">
      <c r="A111" s="1725" t="s">
        <v>1012</v>
      </c>
      <c r="B111" s="1725"/>
      <c r="C111" s="1725"/>
      <c r="D111" s="1725"/>
      <c r="E111" s="1725"/>
      <c r="F111" s="1725"/>
      <c r="G111" s="1725"/>
      <c r="H111" s="1725"/>
      <c r="I111" s="1725"/>
      <c r="J111" s="1725"/>
      <c r="K111" s="1725"/>
      <c r="L111" s="1725"/>
      <c r="M111" s="1725"/>
      <c r="N111" s="1725"/>
      <c r="O111" s="710"/>
      <c r="P111" s="778"/>
      <c r="Q111" s="328"/>
      <c r="R111" s="328"/>
      <c r="S111" s="778"/>
      <c r="T111" s="328"/>
      <c r="U111" s="328"/>
      <c r="V111" s="328"/>
      <c r="W111" s="328"/>
      <c r="X111" s="328"/>
      <c r="Y111" s="328"/>
      <c r="Z111" s="328"/>
      <c r="AA111" s="328"/>
      <c r="AB111" s="328"/>
      <c r="AC111" s="328"/>
      <c r="AD111" s="328"/>
      <c r="AE111" s="328"/>
      <c r="AF111" s="328"/>
      <c r="AG111" s="328"/>
      <c r="AH111" s="328"/>
    </row>
    <row r="112" spans="1:34" x14ac:dyDescent="0.25">
      <c r="A112" s="1722"/>
      <c r="B112" s="1722"/>
      <c r="C112" s="1722"/>
      <c r="D112" s="1722"/>
      <c r="E112" s="1722"/>
      <c r="F112" s="1722"/>
      <c r="G112" s="1722"/>
      <c r="H112" s="1722"/>
      <c r="I112" s="1722"/>
      <c r="J112" s="1722"/>
      <c r="K112" s="1722"/>
      <c r="L112" s="1722"/>
      <c r="M112" s="1722"/>
      <c r="N112" s="1722"/>
      <c r="O112" s="728"/>
      <c r="P112" s="778"/>
      <c r="Q112" s="778"/>
      <c r="R112" s="778"/>
      <c r="S112" s="778"/>
      <c r="T112" s="328"/>
      <c r="U112" s="328"/>
      <c r="V112" s="328"/>
      <c r="W112" s="328"/>
      <c r="X112" s="328"/>
      <c r="Y112" s="328"/>
      <c r="Z112" s="778"/>
      <c r="AA112" s="778"/>
      <c r="AB112" s="328"/>
      <c r="AC112" s="778"/>
      <c r="AD112" s="328"/>
      <c r="AE112" s="328"/>
      <c r="AF112" s="328"/>
      <c r="AG112" s="328"/>
      <c r="AH112" s="328"/>
    </row>
    <row r="113" spans="1:34" x14ac:dyDescent="0.25">
      <c r="A113" s="146"/>
      <c r="C113" s="146"/>
      <c r="D113" s="146"/>
      <c r="E113" s="146"/>
      <c r="F113" s="1220"/>
      <c r="G113" s="1220"/>
      <c r="H113" s="1220"/>
      <c r="I113" s="1220"/>
      <c r="J113" s="1220"/>
      <c r="K113" s="335"/>
      <c r="L113" s="335"/>
      <c r="M113" s="335"/>
      <c r="N113" s="335"/>
      <c r="O113" s="335"/>
      <c r="P113" s="335"/>
      <c r="Q113" s="335"/>
      <c r="R113" s="335"/>
      <c r="S113" s="335"/>
      <c r="T113" s="778"/>
      <c r="U113" s="335"/>
      <c r="V113" s="335"/>
      <c r="W113" s="335"/>
      <c r="X113" s="335"/>
      <c r="Y113" s="778"/>
      <c r="Z113" s="328"/>
      <c r="AA113" s="328"/>
      <c r="AB113" s="328"/>
      <c r="AC113" s="146"/>
      <c r="AD113" s="146"/>
      <c r="AE113" s="146"/>
      <c r="AF113" s="146"/>
      <c r="AG113" s="146"/>
      <c r="AH113" s="146"/>
    </row>
    <row r="114" spans="1:34" x14ac:dyDescent="0.25">
      <c r="A114" s="146"/>
      <c r="B114" s="146"/>
      <c r="C114" s="146"/>
      <c r="D114" s="146"/>
      <c r="E114" s="146"/>
      <c r="F114" s="146"/>
      <c r="G114" s="146"/>
      <c r="H114" s="146"/>
      <c r="I114" s="146"/>
      <c r="J114" s="146"/>
      <c r="K114" s="335"/>
      <c r="L114" s="335"/>
      <c r="M114" s="335"/>
      <c r="N114" s="335"/>
      <c r="O114" s="335"/>
      <c r="P114" s="778"/>
      <c r="Q114" s="328"/>
      <c r="R114" s="328"/>
      <c r="S114" s="328"/>
      <c r="T114" s="328"/>
      <c r="U114" s="328"/>
      <c r="V114" s="328"/>
      <c r="W114" s="328"/>
      <c r="X114" s="328"/>
      <c r="Y114" s="328"/>
      <c r="Z114" s="328"/>
      <c r="AA114" s="328"/>
      <c r="AB114" s="328"/>
      <c r="AC114" s="146"/>
      <c r="AD114" s="146"/>
      <c r="AE114" s="146"/>
      <c r="AF114" s="146"/>
      <c r="AG114" s="146"/>
      <c r="AH114" s="146"/>
    </row>
    <row r="115" spans="1:34" x14ac:dyDescent="0.25">
      <c r="A115" s="146"/>
      <c r="B115" s="146"/>
      <c r="C115" s="146"/>
      <c r="D115" s="146"/>
      <c r="E115" s="146"/>
      <c r="F115" s="146"/>
      <c r="G115" s="146"/>
      <c r="H115" s="146"/>
      <c r="I115" s="146"/>
      <c r="J115" s="146"/>
      <c r="K115" s="146"/>
      <c r="L115" s="146"/>
      <c r="M115" s="146"/>
      <c r="N115" s="146"/>
      <c r="O115" s="146"/>
      <c r="P115" s="328"/>
      <c r="Q115" s="328"/>
      <c r="R115" s="328"/>
      <c r="S115" s="328"/>
      <c r="T115" s="328"/>
      <c r="U115" s="328"/>
      <c r="V115" s="328"/>
      <c r="W115" s="328"/>
      <c r="X115" s="328"/>
      <c r="Y115" s="328"/>
      <c r="Z115" s="328"/>
      <c r="AA115" s="328"/>
      <c r="AB115" s="328"/>
      <c r="AC115" s="146"/>
      <c r="AD115" s="146"/>
      <c r="AE115" s="146"/>
      <c r="AF115" s="146"/>
      <c r="AG115" s="146"/>
      <c r="AH115" s="146"/>
    </row>
    <row r="116" spans="1:34" x14ac:dyDescent="0.25">
      <c r="A116" s="146"/>
      <c r="B116" s="335"/>
      <c r="C116" s="146"/>
      <c r="D116" s="146"/>
      <c r="E116" s="146"/>
      <c r="F116" s="335"/>
      <c r="G116" s="146"/>
      <c r="H116" s="146"/>
      <c r="I116" s="146"/>
      <c r="J116" s="146"/>
      <c r="K116" s="335"/>
      <c r="L116" s="146"/>
      <c r="M116" s="146"/>
      <c r="N116" s="146"/>
      <c r="O116" s="146"/>
      <c r="P116" s="335"/>
      <c r="Q116" s="328"/>
      <c r="R116" s="328"/>
      <c r="S116" s="328"/>
      <c r="T116" s="328"/>
      <c r="U116" s="335"/>
      <c r="V116" s="328"/>
      <c r="W116" s="328"/>
      <c r="X116" s="328"/>
      <c r="Y116" s="328"/>
      <c r="Z116" s="328"/>
      <c r="AA116" s="328"/>
      <c r="AB116" s="328"/>
      <c r="AC116" s="146"/>
      <c r="AD116" s="146"/>
      <c r="AE116" s="146"/>
      <c r="AF116" s="146"/>
      <c r="AG116" s="146"/>
      <c r="AH116" s="146"/>
    </row>
    <row r="117" spans="1:34" x14ac:dyDescent="0.25">
      <c r="A117" s="146"/>
      <c r="B117" s="146"/>
      <c r="C117" s="146"/>
      <c r="D117" s="146"/>
      <c r="E117" s="146"/>
      <c r="F117" s="146"/>
      <c r="G117" s="146"/>
      <c r="H117" s="146"/>
      <c r="I117" s="146"/>
      <c r="J117" s="146"/>
      <c r="K117" s="146"/>
      <c r="L117" s="146"/>
      <c r="M117" s="146"/>
      <c r="N117" s="146"/>
      <c r="O117" s="146"/>
      <c r="P117" s="328"/>
      <c r="Q117" s="328"/>
      <c r="R117" s="328"/>
      <c r="S117" s="328"/>
      <c r="T117" s="328"/>
      <c r="U117" s="328"/>
      <c r="V117" s="328"/>
      <c r="W117" s="328"/>
      <c r="X117" s="328"/>
      <c r="Y117" s="328"/>
      <c r="Z117" s="328"/>
      <c r="AA117" s="328"/>
      <c r="AB117" s="328"/>
      <c r="AC117" s="146"/>
      <c r="AD117" s="146"/>
      <c r="AE117" s="146"/>
      <c r="AF117" s="146"/>
      <c r="AG117" s="146"/>
      <c r="AH117" s="146"/>
    </row>
    <row r="118" spans="1:34" x14ac:dyDescent="0.25">
      <c r="A118" s="146"/>
      <c r="B118" s="146"/>
      <c r="C118" s="146"/>
      <c r="D118" s="146"/>
      <c r="E118" s="146"/>
      <c r="F118" s="146"/>
      <c r="G118" s="146"/>
      <c r="H118" s="146"/>
      <c r="I118" s="146"/>
      <c r="J118" s="146"/>
      <c r="K118" s="146"/>
      <c r="L118" s="146"/>
      <c r="M118" s="146"/>
      <c r="N118" s="146"/>
      <c r="O118" s="146"/>
      <c r="P118" s="328"/>
      <c r="Q118" s="328"/>
      <c r="R118" s="328"/>
      <c r="S118" s="328"/>
      <c r="T118" s="328"/>
      <c r="U118" s="328"/>
      <c r="V118" s="328"/>
      <c r="W118" s="328"/>
      <c r="X118" s="328"/>
      <c r="Y118" s="328"/>
      <c r="Z118" s="328"/>
      <c r="AA118" s="328"/>
      <c r="AB118" s="328"/>
      <c r="AC118" s="146"/>
      <c r="AD118" s="146"/>
      <c r="AE118" s="146"/>
      <c r="AF118" s="146"/>
      <c r="AG118" s="146"/>
      <c r="AH118" s="146"/>
    </row>
    <row r="119" spans="1:34" x14ac:dyDescent="0.25">
      <c r="A119" s="146"/>
      <c r="B119" s="146"/>
      <c r="C119" s="146"/>
      <c r="D119" s="146"/>
      <c r="E119" s="146"/>
      <c r="F119" s="146"/>
      <c r="G119" s="146"/>
      <c r="H119" s="146"/>
      <c r="I119" s="146"/>
      <c r="J119" s="146"/>
      <c r="K119" s="146"/>
      <c r="L119" s="146"/>
      <c r="M119" s="146"/>
      <c r="N119" s="335"/>
      <c r="O119" s="335"/>
      <c r="P119" s="146"/>
      <c r="Q119" s="146"/>
      <c r="R119" s="146"/>
      <c r="S119" s="328"/>
      <c r="T119" s="328"/>
      <c r="U119" s="328"/>
      <c r="V119" s="328"/>
      <c r="W119" s="146"/>
      <c r="X119" s="146"/>
      <c r="Y119" s="146"/>
      <c r="Z119" s="328"/>
      <c r="AA119" s="328"/>
      <c r="AB119" s="328"/>
      <c r="AC119" s="146"/>
      <c r="AD119" s="146"/>
      <c r="AE119" s="146"/>
      <c r="AF119" s="146"/>
      <c r="AG119" s="146"/>
      <c r="AH119" s="146"/>
    </row>
    <row r="120" spans="1:34" x14ac:dyDescent="0.25">
      <c r="A120" s="146"/>
      <c r="B120" s="146"/>
      <c r="C120" s="146"/>
      <c r="D120" s="146"/>
      <c r="E120" s="146"/>
      <c r="F120" s="146"/>
      <c r="G120" s="146"/>
      <c r="H120" s="146"/>
      <c r="I120" s="146"/>
      <c r="J120" s="146"/>
      <c r="K120" s="146"/>
      <c r="L120" s="146"/>
      <c r="M120" s="146"/>
      <c r="N120" s="335"/>
      <c r="O120" s="335"/>
      <c r="P120" s="146"/>
      <c r="Q120" s="146"/>
      <c r="R120" s="146"/>
      <c r="S120" s="328"/>
      <c r="T120" s="328"/>
      <c r="U120" s="328"/>
      <c r="V120" s="328"/>
      <c r="W120" s="146"/>
      <c r="X120" s="146"/>
      <c r="Y120" s="146"/>
      <c r="Z120" s="328"/>
      <c r="AA120" s="328"/>
      <c r="AB120" s="328"/>
      <c r="AC120" s="146"/>
      <c r="AD120" s="146"/>
      <c r="AE120" s="146"/>
      <c r="AF120" s="146"/>
      <c r="AG120" s="146"/>
      <c r="AH120" s="146"/>
    </row>
    <row r="121" spans="1:34" x14ac:dyDescent="0.25">
      <c r="A121" s="146"/>
      <c r="B121" s="146"/>
      <c r="C121" s="146"/>
      <c r="D121" s="146"/>
      <c r="E121" s="146"/>
      <c r="F121" s="146"/>
      <c r="G121" s="146"/>
      <c r="H121" s="146"/>
      <c r="I121" s="146"/>
      <c r="J121" s="146"/>
      <c r="K121" s="146"/>
      <c r="L121" s="146"/>
      <c r="M121" s="146"/>
      <c r="N121" s="146"/>
      <c r="O121" s="146"/>
      <c r="P121" s="146"/>
      <c r="Q121" s="146"/>
      <c r="R121" s="146"/>
      <c r="S121" s="328"/>
      <c r="T121" s="328"/>
      <c r="U121" s="328"/>
      <c r="V121" s="328"/>
      <c r="W121" s="146"/>
      <c r="X121" s="146"/>
      <c r="Y121" s="146"/>
      <c r="Z121" s="328"/>
      <c r="AA121" s="328"/>
      <c r="AB121" s="328"/>
      <c r="AC121" s="146"/>
      <c r="AD121" s="146"/>
      <c r="AE121" s="146"/>
      <c r="AF121" s="146"/>
      <c r="AG121" s="146"/>
      <c r="AH121" s="146"/>
    </row>
    <row r="122" spans="1:34" x14ac:dyDescent="0.25">
      <c r="A122" s="146"/>
      <c r="B122" s="146"/>
      <c r="C122" s="146"/>
      <c r="D122" s="146"/>
      <c r="E122" s="146"/>
      <c r="F122" s="146"/>
      <c r="G122" s="146"/>
      <c r="H122" s="146"/>
      <c r="I122" s="146"/>
      <c r="J122" s="146"/>
      <c r="K122" s="146"/>
      <c r="L122" s="146"/>
      <c r="M122" s="146"/>
      <c r="N122" s="146"/>
      <c r="O122" s="146"/>
      <c r="P122" s="146"/>
      <c r="Q122" s="146"/>
      <c r="R122" s="146"/>
      <c r="S122" s="328"/>
      <c r="T122" s="328"/>
      <c r="U122" s="328"/>
      <c r="V122" s="328"/>
      <c r="W122" s="146"/>
      <c r="X122" s="146"/>
      <c r="Y122" s="146"/>
      <c r="Z122" s="328"/>
      <c r="AA122" s="328"/>
      <c r="AB122" s="328"/>
      <c r="AC122" s="146"/>
      <c r="AD122" s="146"/>
      <c r="AE122" s="146"/>
      <c r="AF122" s="146"/>
      <c r="AG122" s="146"/>
      <c r="AH122" s="146"/>
    </row>
    <row r="123" spans="1:34" x14ac:dyDescent="0.25">
      <c r="A123" s="146"/>
      <c r="B123" s="146"/>
      <c r="C123" s="146"/>
      <c r="D123" s="146"/>
      <c r="E123" s="146"/>
      <c r="F123" s="146"/>
      <c r="G123" s="146"/>
      <c r="H123" s="146"/>
      <c r="I123" s="146"/>
      <c r="J123" s="146"/>
      <c r="K123" s="146"/>
      <c r="L123" s="146"/>
      <c r="M123" s="146"/>
      <c r="N123" s="146"/>
      <c r="O123" s="146"/>
      <c r="P123" s="146"/>
      <c r="Q123" s="146"/>
      <c r="R123" s="146"/>
      <c r="S123" s="328"/>
      <c r="T123" s="328"/>
      <c r="U123" s="328"/>
      <c r="V123" s="328"/>
      <c r="W123" s="146"/>
      <c r="X123" s="146"/>
      <c r="Y123" s="146"/>
      <c r="Z123" s="328"/>
      <c r="AA123" s="328"/>
      <c r="AB123" s="328"/>
      <c r="AC123" s="146"/>
      <c r="AD123" s="146"/>
      <c r="AE123" s="146"/>
      <c r="AF123" s="146"/>
      <c r="AG123" s="146"/>
      <c r="AH123" s="146"/>
    </row>
    <row r="124" spans="1:34" x14ac:dyDescent="0.25">
      <c r="A124" s="146"/>
      <c r="B124" s="146"/>
      <c r="C124" s="146"/>
      <c r="D124" s="146"/>
      <c r="E124" s="146"/>
      <c r="F124" s="146"/>
      <c r="G124" s="146"/>
      <c r="H124" s="146"/>
      <c r="I124" s="146"/>
      <c r="J124" s="146"/>
      <c r="K124" s="146"/>
      <c r="L124" s="146"/>
      <c r="M124" s="146"/>
      <c r="N124" s="146"/>
      <c r="O124" s="146"/>
      <c r="P124" s="146"/>
      <c r="Q124" s="146"/>
      <c r="R124" s="146"/>
      <c r="S124" s="328"/>
      <c r="T124" s="328"/>
      <c r="U124" s="328"/>
      <c r="V124" s="328"/>
      <c r="W124" s="146"/>
      <c r="X124" s="146"/>
      <c r="Y124" s="146"/>
      <c r="Z124" s="328"/>
      <c r="AA124" s="328"/>
      <c r="AB124" s="328"/>
      <c r="AC124" s="146"/>
      <c r="AD124" s="146"/>
      <c r="AE124" s="146"/>
      <c r="AF124" s="146"/>
      <c r="AG124" s="146"/>
      <c r="AH124" s="146"/>
    </row>
    <row r="125" spans="1:34" x14ac:dyDescent="0.25">
      <c r="A125" s="146"/>
      <c r="B125" s="146"/>
      <c r="C125" s="146"/>
      <c r="D125" s="146"/>
      <c r="E125" s="146"/>
      <c r="F125" s="146"/>
      <c r="G125" s="146"/>
      <c r="H125" s="146"/>
      <c r="I125" s="146"/>
      <c r="J125" s="146"/>
      <c r="K125" s="146"/>
      <c r="L125" s="146"/>
      <c r="M125" s="146"/>
      <c r="N125" s="146"/>
      <c r="O125" s="146"/>
      <c r="P125" s="146"/>
      <c r="Q125" s="146"/>
      <c r="R125" s="146"/>
      <c r="S125" s="328"/>
      <c r="T125" s="328"/>
      <c r="U125" s="328"/>
      <c r="V125" s="328"/>
      <c r="W125" s="146"/>
      <c r="X125" s="146"/>
      <c r="Y125" s="146"/>
      <c r="Z125" s="328"/>
      <c r="AA125" s="328"/>
      <c r="AB125" s="328"/>
      <c r="AC125" s="146"/>
      <c r="AD125" s="146"/>
      <c r="AE125" s="146"/>
      <c r="AF125" s="146"/>
      <c r="AG125" s="146"/>
      <c r="AH125" s="146"/>
    </row>
    <row r="126" spans="1:34" x14ac:dyDescent="0.25">
      <c r="A126" s="146"/>
      <c r="B126" s="146"/>
      <c r="C126" s="146"/>
      <c r="D126" s="146"/>
      <c r="E126" s="146"/>
      <c r="F126" s="146"/>
      <c r="G126" s="146"/>
      <c r="H126" s="146"/>
      <c r="I126" s="146"/>
      <c r="J126" s="146"/>
      <c r="K126" s="146"/>
      <c r="L126" s="146"/>
      <c r="M126" s="146"/>
      <c r="N126" s="146"/>
      <c r="O126" s="146"/>
      <c r="P126" s="146"/>
      <c r="Q126" s="146"/>
      <c r="R126" s="146"/>
      <c r="S126" s="328"/>
      <c r="T126" s="328"/>
      <c r="U126" s="328"/>
      <c r="V126" s="328"/>
      <c r="W126" s="146"/>
      <c r="X126" s="146"/>
      <c r="Y126" s="146"/>
      <c r="Z126" s="328"/>
      <c r="AA126" s="328"/>
      <c r="AB126" s="328"/>
      <c r="AC126" s="146"/>
      <c r="AD126" s="146"/>
      <c r="AE126" s="146"/>
      <c r="AF126" s="146"/>
      <c r="AG126" s="146"/>
      <c r="AH126" s="146"/>
    </row>
    <row r="127" spans="1:34" x14ac:dyDescent="0.25">
      <c r="A127" s="146"/>
      <c r="B127" s="146"/>
      <c r="C127" s="146"/>
      <c r="D127" s="146"/>
      <c r="E127" s="146"/>
      <c r="F127" s="146"/>
      <c r="G127" s="146"/>
      <c r="H127" s="146"/>
      <c r="I127" s="146"/>
      <c r="J127" s="146"/>
      <c r="K127" s="146"/>
      <c r="L127" s="146"/>
      <c r="M127" s="146"/>
      <c r="N127" s="146"/>
      <c r="O127" s="146"/>
      <c r="P127" s="146"/>
      <c r="Q127" s="146"/>
      <c r="R127" s="146"/>
      <c r="S127" s="328"/>
      <c r="T127" s="328"/>
      <c r="U127" s="328"/>
      <c r="V127" s="328"/>
      <c r="W127" s="146"/>
      <c r="X127" s="146"/>
      <c r="Y127" s="146"/>
      <c r="Z127" s="328"/>
      <c r="AA127" s="328"/>
      <c r="AB127" s="328"/>
      <c r="AC127" s="146"/>
      <c r="AD127" s="146"/>
      <c r="AE127" s="146"/>
      <c r="AF127" s="146"/>
      <c r="AG127" s="146"/>
      <c r="AH127" s="146"/>
    </row>
    <row r="128" spans="1:34" x14ac:dyDescent="0.25">
      <c r="A128" s="146"/>
      <c r="B128" s="146"/>
      <c r="C128" s="146"/>
      <c r="D128" s="146"/>
      <c r="E128" s="146"/>
      <c r="F128" s="146"/>
      <c r="G128" s="146"/>
      <c r="H128" s="146"/>
      <c r="I128" s="146"/>
      <c r="J128" s="146"/>
      <c r="K128" s="146"/>
      <c r="L128" s="146"/>
      <c r="M128" s="146"/>
      <c r="N128" s="146"/>
      <c r="O128" s="146"/>
      <c r="P128" s="146"/>
      <c r="Q128" s="146"/>
      <c r="R128" s="146"/>
      <c r="S128" s="328"/>
      <c r="T128" s="328"/>
      <c r="U128" s="328"/>
      <c r="V128" s="328"/>
      <c r="W128" s="146"/>
      <c r="X128" s="146"/>
      <c r="Y128" s="146"/>
      <c r="Z128" s="328"/>
      <c r="AA128" s="328"/>
      <c r="AB128" s="328"/>
      <c r="AC128" s="146"/>
      <c r="AD128" s="146"/>
      <c r="AE128" s="146"/>
      <c r="AF128" s="146"/>
      <c r="AG128" s="146"/>
      <c r="AH128" s="146"/>
    </row>
    <row r="129" spans="1:34" x14ac:dyDescent="0.25">
      <c r="A129" s="146"/>
      <c r="B129" s="146"/>
      <c r="C129" s="146"/>
      <c r="D129" s="146"/>
      <c r="E129" s="146"/>
      <c r="F129" s="146"/>
      <c r="G129" s="146"/>
      <c r="H129" s="146"/>
      <c r="I129" s="146"/>
      <c r="J129" s="146"/>
      <c r="K129" s="146"/>
      <c r="L129" s="146"/>
      <c r="M129" s="146"/>
      <c r="N129" s="146"/>
      <c r="O129" s="146"/>
      <c r="P129" s="146"/>
      <c r="Q129" s="146"/>
      <c r="R129" s="146"/>
      <c r="S129" s="328"/>
      <c r="T129" s="328"/>
      <c r="U129" s="328"/>
      <c r="V129" s="328"/>
      <c r="W129" s="146"/>
      <c r="X129" s="146"/>
      <c r="Y129" s="146"/>
      <c r="Z129" s="328"/>
      <c r="AA129" s="328"/>
      <c r="AB129" s="328"/>
      <c r="AC129" s="146"/>
      <c r="AD129" s="146"/>
      <c r="AE129" s="146"/>
      <c r="AF129" s="146"/>
      <c r="AG129" s="146"/>
      <c r="AH129" s="146"/>
    </row>
  </sheetData>
  <mergeCells count="35">
    <mergeCell ref="P26:T26"/>
    <mergeCell ref="U79:Y79"/>
    <mergeCell ref="P43:T43"/>
    <mergeCell ref="F43:J43"/>
    <mergeCell ref="U43:Y43"/>
    <mergeCell ref="F79:J79"/>
    <mergeCell ref="P79:T79"/>
    <mergeCell ref="A112:N112"/>
    <mergeCell ref="A4:A5"/>
    <mergeCell ref="A25:A26"/>
    <mergeCell ref="A78:A79"/>
    <mergeCell ref="A42:A43"/>
    <mergeCell ref="F5:J5"/>
    <mergeCell ref="A111:N111"/>
    <mergeCell ref="B26:E26"/>
    <mergeCell ref="F26:J26"/>
    <mergeCell ref="B5:E5"/>
    <mergeCell ref="B43:E43"/>
    <mergeCell ref="B79:E79"/>
    <mergeCell ref="Z5:AD5"/>
    <mergeCell ref="Z26:AD26"/>
    <mergeCell ref="Z43:AD43"/>
    <mergeCell ref="Z79:AD79"/>
    <mergeCell ref="A1:AD1"/>
    <mergeCell ref="A3:AD3"/>
    <mergeCell ref="A24:AD24"/>
    <mergeCell ref="A41:AD41"/>
    <mergeCell ref="A77:AD77"/>
    <mergeCell ref="K5:O5"/>
    <mergeCell ref="K26:O26"/>
    <mergeCell ref="K43:O43"/>
    <mergeCell ref="K79:O79"/>
    <mergeCell ref="U26:Y26"/>
    <mergeCell ref="U5:Y5"/>
    <mergeCell ref="P5:T5"/>
  </mergeCells>
  <phoneticPr fontId="15" type="noConversion"/>
  <printOptions horizontalCentered="1" verticalCentered="1"/>
  <pageMargins left="0.25" right="0.49" top="0.2" bottom="0.38" header="0.17" footer="0.25"/>
  <pageSetup scale="55" orientation="landscape" horizontalDpi="4294967293" r:id="rId1"/>
  <headerFooter alignWithMargins="0">
    <oddFooter>&amp;RSource: Office of Institutional Research</oddFooter>
  </headerFooter>
  <rowBreaks count="2" manualBreakCount="2">
    <brk id="40" max="14" man="1"/>
    <brk id="111" max="17" man="1"/>
  </rowBreaks>
  <webPublishItems count="1">
    <webPublishItem id="26575" divId="2004_2005 FACT BOOK WORKING COPY_26575" sourceType="sheet" destinationFile="C:\Documents and Settings\mkirkpatrick\My Documents\2004-2005 FACT BOOK\2004-2005 fact book WEB PAGES\04_05Summer_CHP.htm"/>
  </webPublishItem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7"/>
  <dimension ref="A1:IV128"/>
  <sheetViews>
    <sheetView zoomScale="60" zoomScaleNormal="60" workbookViewId="0">
      <selection sqref="A1:AD1"/>
    </sheetView>
  </sheetViews>
  <sheetFormatPr defaultColWidth="6.6640625" defaultRowHeight="13.2" x14ac:dyDescent="0.25"/>
  <cols>
    <col min="1" max="1" width="55.6640625" style="143" customWidth="1"/>
    <col min="2" max="5" width="10.6640625" style="143" hidden="1" customWidth="1"/>
    <col min="6" max="10" width="10.6640625" style="143" customWidth="1"/>
    <col min="11" max="11" width="10.6640625" style="144" customWidth="1"/>
    <col min="12" max="51" width="10.6640625" style="143" customWidth="1"/>
    <col min="52" max="16384" width="6.6640625" style="143"/>
  </cols>
  <sheetData>
    <row r="1" spans="1:44" ht="24.75" customHeight="1" x14ac:dyDescent="0.35">
      <c r="A1" s="1721" t="s">
        <v>467</v>
      </c>
      <c r="B1" s="1721"/>
      <c r="C1" s="1721"/>
      <c r="D1" s="1721"/>
      <c r="E1" s="1721"/>
      <c r="F1" s="1721"/>
      <c r="G1" s="1721"/>
      <c r="H1" s="1721"/>
      <c r="I1" s="1721"/>
      <c r="J1" s="1721"/>
      <c r="K1" s="1721"/>
      <c r="L1" s="1721"/>
      <c r="M1" s="1721"/>
      <c r="N1" s="1721"/>
      <c r="O1" s="1721"/>
      <c r="P1" s="1721"/>
      <c r="Q1" s="1721"/>
      <c r="R1" s="1721"/>
      <c r="S1" s="1721"/>
      <c r="T1" s="1721"/>
      <c r="U1" s="1721"/>
      <c r="V1" s="1721"/>
      <c r="W1" s="1721"/>
      <c r="X1" s="1721"/>
      <c r="Y1" s="1721"/>
      <c r="Z1" s="1721"/>
      <c r="AA1" s="1721"/>
      <c r="AB1" s="1721"/>
      <c r="AC1" s="1721"/>
      <c r="AD1" s="1721"/>
      <c r="AE1" s="328"/>
      <c r="AF1" s="328"/>
    </row>
    <row r="2" spans="1:44" ht="12.75" customHeight="1" thickBot="1" x14ac:dyDescent="0.3">
      <c r="A2" s="145"/>
      <c r="B2" s="145"/>
      <c r="C2" s="145"/>
      <c r="D2" s="145"/>
      <c r="E2" s="145"/>
      <c r="F2" s="145"/>
      <c r="G2" s="145"/>
      <c r="H2" s="145"/>
      <c r="I2" s="145"/>
      <c r="J2" s="145"/>
      <c r="K2" s="147"/>
      <c r="L2" s="147"/>
      <c r="M2" s="147"/>
      <c r="N2" s="147"/>
      <c r="O2" s="147"/>
      <c r="P2" s="147"/>
      <c r="Q2" s="147"/>
      <c r="R2" s="147"/>
      <c r="S2" s="147"/>
      <c r="T2" s="147"/>
      <c r="U2" s="147"/>
      <c r="V2" s="147"/>
      <c r="W2" s="147"/>
      <c r="X2" s="147"/>
      <c r="Y2" s="147"/>
      <c r="Z2" s="147"/>
      <c r="AA2" s="147"/>
      <c r="AB2" s="147"/>
      <c r="AC2" s="328"/>
      <c r="AD2" s="328"/>
      <c r="AE2" s="328"/>
      <c r="AF2" s="328"/>
      <c r="AG2" s="328"/>
      <c r="AH2" s="328"/>
      <c r="AI2" s="328"/>
      <c r="AJ2" s="328"/>
      <c r="AK2" s="328"/>
      <c r="AL2" s="328"/>
      <c r="AM2" s="328"/>
      <c r="AN2" s="328"/>
      <c r="AO2" s="328"/>
      <c r="AP2" s="328"/>
      <c r="AQ2" s="328"/>
      <c r="AR2" s="328"/>
    </row>
    <row r="3" spans="1:44" customFormat="1" ht="18" thickBot="1" x14ac:dyDescent="0.35">
      <c r="A3" s="1718" t="s">
        <v>419</v>
      </c>
      <c r="B3" s="1719"/>
      <c r="C3" s="1719"/>
      <c r="D3" s="1719"/>
      <c r="E3" s="1719"/>
      <c r="F3" s="1719"/>
      <c r="G3" s="1719"/>
      <c r="H3" s="1719"/>
      <c r="I3" s="1719"/>
      <c r="J3" s="1719"/>
      <c r="K3" s="1719"/>
      <c r="L3" s="1719"/>
      <c r="M3" s="1719"/>
      <c r="N3" s="1719"/>
      <c r="O3" s="1719"/>
      <c r="P3" s="1719"/>
      <c r="Q3" s="1719"/>
      <c r="R3" s="1719"/>
      <c r="S3" s="1719"/>
      <c r="T3" s="1719"/>
      <c r="U3" s="1719"/>
      <c r="V3" s="1719"/>
      <c r="W3" s="1719"/>
      <c r="X3" s="1719"/>
      <c r="Y3" s="1719"/>
      <c r="Z3" s="1719"/>
      <c r="AA3" s="1719"/>
      <c r="AB3" s="1719"/>
      <c r="AC3" s="1719"/>
      <c r="AD3" s="1720"/>
    </row>
    <row r="4" spans="1:44" ht="26.4" x14ac:dyDescent="0.25">
      <c r="A4" s="1723" t="s">
        <v>952</v>
      </c>
      <c r="B4" s="1480" t="s">
        <v>954</v>
      </c>
      <c r="C4" s="1480" t="s">
        <v>955</v>
      </c>
      <c r="D4" s="1480" t="s">
        <v>956</v>
      </c>
      <c r="E4" s="820" t="s">
        <v>957</v>
      </c>
      <c r="F4" s="148" t="s">
        <v>954</v>
      </c>
      <c r="G4" s="1480" t="s">
        <v>955</v>
      </c>
      <c r="H4" s="1480" t="s">
        <v>956</v>
      </c>
      <c r="I4" s="1481" t="s">
        <v>957</v>
      </c>
      <c r="J4" s="820" t="s">
        <v>958</v>
      </c>
      <c r="K4" s="148" t="s">
        <v>954</v>
      </c>
      <c r="L4" s="148" t="s">
        <v>955</v>
      </c>
      <c r="M4" s="148" t="s">
        <v>956</v>
      </c>
      <c r="N4" s="1481" t="s">
        <v>1015</v>
      </c>
      <c r="O4" s="149" t="s">
        <v>958</v>
      </c>
      <c r="P4" s="148" t="s">
        <v>954</v>
      </c>
      <c r="Q4" s="148" t="s">
        <v>955</v>
      </c>
      <c r="R4" s="148" t="s">
        <v>956</v>
      </c>
      <c r="S4" s="1481" t="s">
        <v>1015</v>
      </c>
      <c r="T4" s="149" t="s">
        <v>1017</v>
      </c>
      <c r="U4" s="148" t="s">
        <v>954</v>
      </c>
      <c r="V4" s="148" t="s">
        <v>955</v>
      </c>
      <c r="W4" s="148" t="s">
        <v>956</v>
      </c>
      <c r="X4" s="1481" t="s">
        <v>1015</v>
      </c>
      <c r="Y4" s="149" t="s">
        <v>1017</v>
      </c>
      <c r="Z4" s="148" t="s">
        <v>954</v>
      </c>
      <c r="AA4" s="148" t="s">
        <v>955</v>
      </c>
      <c r="AB4" s="148" t="s">
        <v>956</v>
      </c>
      <c r="AC4" s="1481" t="s">
        <v>1015</v>
      </c>
      <c r="AD4" s="779" t="s">
        <v>1017</v>
      </c>
      <c r="AE4" s="328"/>
      <c r="AF4" s="328"/>
      <c r="AG4" s="328"/>
      <c r="AH4" s="328"/>
      <c r="AI4" s="328"/>
      <c r="AJ4" s="328"/>
      <c r="AK4" s="328"/>
      <c r="AL4" s="328"/>
      <c r="AM4" s="329"/>
      <c r="AN4" s="328"/>
      <c r="AO4" s="328"/>
      <c r="AP4" s="328"/>
      <c r="AQ4" s="328"/>
    </row>
    <row r="5" spans="1:44" ht="12.75" customHeight="1" x14ac:dyDescent="0.25">
      <c r="A5" s="1724"/>
      <c r="B5" s="1742" t="s">
        <v>1407</v>
      </c>
      <c r="C5" s="1742"/>
      <c r="D5" s="1742"/>
      <c r="E5" s="1743"/>
      <c r="F5" s="1742" t="s">
        <v>1408</v>
      </c>
      <c r="G5" s="1742"/>
      <c r="H5" s="1742"/>
      <c r="I5" s="1742"/>
      <c r="J5" s="1743"/>
      <c r="K5" s="1726" t="s">
        <v>1396</v>
      </c>
      <c r="L5" s="1727"/>
      <c r="M5" s="1727"/>
      <c r="N5" s="1727"/>
      <c r="O5" s="1728"/>
      <c r="P5" s="1727" t="s">
        <v>1397</v>
      </c>
      <c r="Q5" s="1727"/>
      <c r="R5" s="1727"/>
      <c r="S5" s="1727"/>
      <c r="T5" s="1728"/>
      <c r="U5" s="1727" t="s">
        <v>1398</v>
      </c>
      <c r="V5" s="1727"/>
      <c r="W5" s="1727"/>
      <c r="X5" s="1727"/>
      <c r="Y5" s="1728"/>
      <c r="Z5" s="1727" t="s">
        <v>1574</v>
      </c>
      <c r="AA5" s="1727"/>
      <c r="AB5" s="1727"/>
      <c r="AC5" s="1727"/>
      <c r="AD5" s="1735"/>
      <c r="AE5" s="328"/>
      <c r="AF5" s="328"/>
      <c r="AG5" s="328"/>
      <c r="AH5" s="328"/>
      <c r="AI5" s="328"/>
      <c r="AJ5" s="328"/>
      <c r="AK5" s="328"/>
      <c r="AL5" s="328"/>
      <c r="AM5" s="328"/>
      <c r="AN5" s="328"/>
      <c r="AO5" s="328"/>
      <c r="AP5" s="328"/>
      <c r="AQ5" s="328"/>
    </row>
    <row r="6" spans="1:44" x14ac:dyDescent="0.25">
      <c r="A6" s="564" t="s">
        <v>423</v>
      </c>
      <c r="B6" s="1163"/>
      <c r="C6" s="1163"/>
      <c r="D6" s="1163"/>
      <c r="E6" s="1166"/>
      <c r="F6" s="1163"/>
      <c r="G6" s="1163"/>
      <c r="H6" s="1163"/>
      <c r="I6" s="1163"/>
      <c r="J6" s="1166"/>
      <c r="K6" s="151"/>
      <c r="L6" s="152"/>
      <c r="M6" s="152"/>
      <c r="N6" s="1208"/>
      <c r="O6" s="607"/>
      <c r="P6" s="151"/>
      <c r="Q6" s="152"/>
      <c r="R6" s="152"/>
      <c r="S6" s="152"/>
      <c r="T6" s="153"/>
      <c r="U6" s="151"/>
      <c r="V6" s="152"/>
      <c r="W6" s="152"/>
      <c r="X6" s="152"/>
      <c r="Y6" s="153"/>
      <c r="Z6" s="151"/>
      <c r="AA6" s="152"/>
      <c r="AB6" s="152"/>
      <c r="AC6" s="152"/>
      <c r="AD6" s="565"/>
      <c r="AE6" s="328"/>
      <c r="AF6" s="328"/>
      <c r="AG6" s="328"/>
      <c r="AH6" s="328"/>
      <c r="AI6" s="328"/>
      <c r="AJ6" s="328"/>
      <c r="AK6" s="328"/>
      <c r="AL6" s="328"/>
      <c r="AM6" s="328"/>
      <c r="AN6" s="328"/>
      <c r="AO6" s="328"/>
      <c r="AP6" s="328"/>
      <c r="AQ6" s="328"/>
    </row>
    <row r="7" spans="1:44" x14ac:dyDescent="0.25">
      <c r="A7" s="566" t="s">
        <v>962</v>
      </c>
      <c r="B7" s="154">
        <f>+'NEW Summer CHP by DISC'!B7/15</f>
        <v>1.6</v>
      </c>
      <c r="C7" s="154">
        <f>+'NEW Summer CHP by DISC'!C7/15</f>
        <v>0</v>
      </c>
      <c r="D7" s="154">
        <f>+'NEW Summer CHP by DISC'!D7/12</f>
        <v>0</v>
      </c>
      <c r="E7" s="331">
        <f>SUM(B7:D7)</f>
        <v>1.6</v>
      </c>
      <c r="F7" s="154">
        <f>+'NEW Summer CHP by DISC'!F7/15</f>
        <v>2.8</v>
      </c>
      <c r="G7" s="154">
        <f>+'NEW Summer CHP by DISC'!G7/15</f>
        <v>0</v>
      </c>
      <c r="H7" s="154">
        <f>+'NEW Summer CHP by DISC'!H7/12</f>
        <v>0</v>
      </c>
      <c r="I7" s="581">
        <f>SUM(F7:H7)</f>
        <v>2.8</v>
      </c>
      <c r="J7" s="155">
        <f t="shared" ref="J7:J19" si="0">IF(E7&gt;0,(I7-E7)/E7,(IF(I7=0,"N/A",100%)))</f>
        <v>0.74999999999999978</v>
      </c>
      <c r="K7" s="154">
        <f>+'NEW Summer CHP by DISC'!K7/15</f>
        <v>5.6</v>
      </c>
      <c r="L7" s="154">
        <f>+'NEW Summer CHP by DISC'!L7/15</f>
        <v>2.6</v>
      </c>
      <c r="M7" s="154">
        <f>+'NEW Summer CHP by DISC'!M7/12</f>
        <v>0</v>
      </c>
      <c r="N7" s="1209">
        <f t="shared" ref="N7:N14" si="1">SUM(K7:M7)</f>
        <v>8.1999999999999993</v>
      </c>
      <c r="O7" s="155">
        <f t="shared" ref="O7:O15" si="2">IF(I7&gt;0,(N7-I7)/I7,(IF(N7=0,"N/A",100%)))</f>
        <v>1.9285714285714286</v>
      </c>
      <c r="P7" s="154">
        <f>+'NEW Summer CHP by DISC'!P7/15</f>
        <v>4</v>
      </c>
      <c r="Q7" s="154">
        <f>+'NEW Summer CHP by DISC'!Q7/15</f>
        <v>0.6</v>
      </c>
      <c r="R7" s="154">
        <f>+'NEW Summer CHP by DISC'!R7/12</f>
        <v>0</v>
      </c>
      <c r="S7" s="154">
        <f t="shared" ref="S7:S14" si="3">SUM(P7:R7)</f>
        <v>4.5999999999999996</v>
      </c>
      <c r="T7" s="155">
        <f t="shared" ref="T7:T15" si="4">IF(N7&gt;0,(S7-N7)/N7,(IF(S7=0,"N/A",100%)))</f>
        <v>-0.43902439024390244</v>
      </c>
      <c r="U7" s="154">
        <f>+'NEW Summer CHP by DISC'!U7/15</f>
        <v>3.6</v>
      </c>
      <c r="V7" s="154">
        <f>+'NEW Summer CHP by DISC'!V7/15</f>
        <v>0.4</v>
      </c>
      <c r="W7" s="154">
        <f>+'NEW Summer CHP by DISC'!W7/12</f>
        <v>0</v>
      </c>
      <c r="X7" s="154">
        <f t="shared" ref="X7:X14" si="5">SUM(U7:W7)</f>
        <v>4</v>
      </c>
      <c r="Y7" s="155">
        <f t="shared" ref="Y7:Y15" si="6">IF(S7&gt;0,(X7-S7)/S7,(IF(X7=0,"N/A",100%)))</f>
        <v>-0.13043478260869559</v>
      </c>
      <c r="Z7" s="154">
        <f>+'NEW Summer CHP by DISC'!Z7/15</f>
        <v>0</v>
      </c>
      <c r="AA7" s="154">
        <f>+'NEW Summer CHP by DISC'!AA7/15</f>
        <v>6.2</v>
      </c>
      <c r="AB7" s="154">
        <f>+'NEW Summer CHP by DISC'!AB7/12</f>
        <v>0</v>
      </c>
      <c r="AC7" s="154">
        <f t="shared" ref="AC7:AC14" si="7">SUM(Z7:AB7)</f>
        <v>6.2</v>
      </c>
      <c r="AD7" s="567">
        <f t="shared" ref="AD7:AD15" si="8">IF(X7&gt;0,(AC7-X7)/X7,(IF(AC7=0,"N/A",100%)))</f>
        <v>0.55000000000000004</v>
      </c>
      <c r="AE7" s="328"/>
      <c r="AF7" s="328"/>
      <c r="AG7" s="328"/>
      <c r="AH7" s="328"/>
      <c r="AI7" s="328"/>
      <c r="AJ7" s="328"/>
      <c r="AK7" s="328"/>
      <c r="AL7" s="328"/>
      <c r="AM7" s="328"/>
      <c r="AN7" s="328"/>
      <c r="AO7" s="328"/>
      <c r="AP7" s="328"/>
      <c r="AQ7" s="328"/>
    </row>
    <row r="8" spans="1:44" s="156" customFormat="1" x14ac:dyDescent="0.25">
      <c r="A8" s="568" t="s">
        <v>963</v>
      </c>
      <c r="B8" s="154">
        <f>+'NEW Summer CHP by DISC'!B8/15</f>
        <v>1.4</v>
      </c>
      <c r="C8" s="154">
        <f>+'NEW Summer CHP by DISC'!C8/15</f>
        <v>8.2666666666666675</v>
      </c>
      <c r="D8" s="154">
        <f>+'NEW Summer CHP by DISC'!D8/12</f>
        <v>0</v>
      </c>
      <c r="E8" s="331">
        <f t="shared" ref="E8:E14" si="9">SUM(B8:D8)</f>
        <v>9.6666666666666679</v>
      </c>
      <c r="F8" s="154">
        <f>+'NEW Summer CHP by DISC'!F8/15</f>
        <v>1.2</v>
      </c>
      <c r="G8" s="154">
        <f>+'NEW Summer CHP by DISC'!G8/15</f>
        <v>10.066666666666666</v>
      </c>
      <c r="H8" s="154">
        <f>+'NEW Summer CHP by DISC'!H8/12</f>
        <v>0</v>
      </c>
      <c r="I8" s="1209">
        <f t="shared" ref="I8:I14" si="10">SUM(F8:H8)</f>
        <v>11.266666666666666</v>
      </c>
      <c r="J8" s="155">
        <f t="shared" si="0"/>
        <v>0.16551724137931009</v>
      </c>
      <c r="K8" s="154">
        <f>+'NEW Summer CHP by DISC'!K8/15</f>
        <v>5</v>
      </c>
      <c r="L8" s="154">
        <f>+'NEW Summer CHP by DISC'!L8/15</f>
        <v>12.466666666666667</v>
      </c>
      <c r="M8" s="154">
        <f>+'NEW Summer CHP by DISC'!M8/12</f>
        <v>0</v>
      </c>
      <c r="N8" s="1209">
        <f t="shared" si="1"/>
        <v>17.466666666666669</v>
      </c>
      <c r="O8" s="155">
        <f t="shared" si="2"/>
        <v>0.55029585798816594</v>
      </c>
      <c r="P8" s="154">
        <f>+'NEW Summer CHP by DISC'!P8/15</f>
        <v>7.6</v>
      </c>
      <c r="Q8" s="154">
        <f>+'NEW Summer CHP by DISC'!Q8/15</f>
        <v>15.533333333333333</v>
      </c>
      <c r="R8" s="154">
        <f>+'NEW Summer CHP by DISC'!R8/12</f>
        <v>0</v>
      </c>
      <c r="S8" s="154">
        <f t="shared" si="3"/>
        <v>23.133333333333333</v>
      </c>
      <c r="T8" s="155">
        <f t="shared" si="4"/>
        <v>0.32442748091603035</v>
      </c>
      <c r="U8" s="154">
        <f>+'NEW Summer CHP by DISC'!U8/15</f>
        <v>5</v>
      </c>
      <c r="V8" s="154">
        <f>+'NEW Summer CHP by DISC'!V8/15</f>
        <v>20.933333333333334</v>
      </c>
      <c r="W8" s="154">
        <f>+'NEW Summer CHP by DISC'!W8/12</f>
        <v>0</v>
      </c>
      <c r="X8" s="154">
        <f t="shared" si="5"/>
        <v>25.933333333333334</v>
      </c>
      <c r="Y8" s="155">
        <f t="shared" si="6"/>
        <v>0.12103746397694527</v>
      </c>
      <c r="Z8" s="154">
        <f>+'NEW Summer CHP by DISC'!Z8/15</f>
        <v>2.2000000000000002</v>
      </c>
      <c r="AA8" s="154">
        <f>+'NEW Summer CHP by DISC'!AA8/15</f>
        <v>16.266666666666666</v>
      </c>
      <c r="AB8" s="154">
        <f>+'NEW Summer CHP by DISC'!AB8/12</f>
        <v>0</v>
      </c>
      <c r="AC8" s="154">
        <f t="shared" si="7"/>
        <v>18.466666666666665</v>
      </c>
      <c r="AD8" s="567">
        <f t="shared" si="8"/>
        <v>-0.28791773778920315</v>
      </c>
      <c r="AE8" s="569"/>
      <c r="AF8" s="569"/>
      <c r="AG8" s="569"/>
      <c r="AH8" s="569"/>
      <c r="AI8" s="569"/>
      <c r="AJ8" s="569"/>
      <c r="AK8" s="569"/>
      <c r="AL8" s="569"/>
      <c r="AM8" s="569"/>
      <c r="AN8" s="569"/>
      <c r="AO8" s="569"/>
      <c r="AP8" s="569"/>
      <c r="AQ8" s="569"/>
    </row>
    <row r="9" spans="1:44" x14ac:dyDescent="0.25">
      <c r="A9" s="566" t="s">
        <v>964</v>
      </c>
      <c r="B9" s="154">
        <f>+'NEW Summer CHP by DISC'!B9/15</f>
        <v>0.73333333333333328</v>
      </c>
      <c r="C9" s="154">
        <f>+'NEW Summer CHP by DISC'!C9/15</f>
        <v>0</v>
      </c>
      <c r="D9" s="154">
        <f>+'NEW Summer CHP by DISC'!D9/12</f>
        <v>0</v>
      </c>
      <c r="E9" s="331">
        <f t="shared" si="9"/>
        <v>0.73333333333333328</v>
      </c>
      <c r="F9" s="154">
        <f>+'NEW Summer CHP by DISC'!F9/15</f>
        <v>0.4</v>
      </c>
      <c r="G9" s="154">
        <f>+'NEW Summer CHP by DISC'!G9/15</f>
        <v>0</v>
      </c>
      <c r="H9" s="154">
        <f>+'NEW Summer CHP by DISC'!H9/12</f>
        <v>0</v>
      </c>
      <c r="I9" s="1209">
        <f t="shared" si="10"/>
        <v>0.4</v>
      </c>
      <c r="J9" s="155">
        <f t="shared" si="0"/>
        <v>-0.45454545454545447</v>
      </c>
      <c r="K9" s="154">
        <f>+'NEW Summer CHP by DISC'!K9/15</f>
        <v>6.6666666666666666E-2</v>
      </c>
      <c r="L9" s="154">
        <f>+'NEW Summer CHP by DISC'!L9/15</f>
        <v>0</v>
      </c>
      <c r="M9" s="154">
        <f>+'NEW Summer CHP by DISC'!M9/12</f>
        <v>0</v>
      </c>
      <c r="N9" s="1209">
        <f t="shared" si="1"/>
        <v>6.6666666666666666E-2</v>
      </c>
      <c r="O9" s="155">
        <f t="shared" si="2"/>
        <v>-0.83333333333333337</v>
      </c>
      <c r="P9" s="154">
        <f>+'NEW Summer CHP by DISC'!P9/15</f>
        <v>0.2</v>
      </c>
      <c r="Q9" s="154">
        <f>+'NEW Summer CHP by DISC'!Q9/15</f>
        <v>0</v>
      </c>
      <c r="R9" s="154">
        <f>+'NEW Summer CHP by DISC'!R9/12</f>
        <v>0</v>
      </c>
      <c r="S9" s="154">
        <f t="shared" si="3"/>
        <v>0.2</v>
      </c>
      <c r="T9" s="155">
        <f t="shared" si="4"/>
        <v>2.0000000000000004</v>
      </c>
      <c r="U9" s="154">
        <f>+'NEW Summer CHP by DISC'!U9/15</f>
        <v>0.26666666666666666</v>
      </c>
      <c r="V9" s="154">
        <f>+'NEW Summer CHP by DISC'!V9/15</f>
        <v>0</v>
      </c>
      <c r="W9" s="154">
        <f>+'NEW Summer CHP by DISC'!W9/12</f>
        <v>0</v>
      </c>
      <c r="X9" s="154">
        <f t="shared" si="5"/>
        <v>0.26666666666666666</v>
      </c>
      <c r="Y9" s="155">
        <f t="shared" si="6"/>
        <v>0.33333333333333326</v>
      </c>
      <c r="Z9" s="154">
        <f>+'NEW Summer CHP by DISC'!Z9/15</f>
        <v>0</v>
      </c>
      <c r="AA9" s="154">
        <f>+'NEW Summer CHP by DISC'!AA9/15</f>
        <v>0.6</v>
      </c>
      <c r="AB9" s="154">
        <f>+'NEW Summer CHP by DISC'!AB9/12</f>
        <v>0</v>
      </c>
      <c r="AC9" s="154">
        <f t="shared" si="7"/>
        <v>0.6</v>
      </c>
      <c r="AD9" s="567">
        <f t="shared" si="8"/>
        <v>1.25</v>
      </c>
      <c r="AE9" s="328"/>
      <c r="AF9" s="328"/>
      <c r="AG9" s="328"/>
      <c r="AH9" s="328"/>
      <c r="AI9" s="328"/>
      <c r="AJ9" s="328"/>
      <c r="AK9" s="328"/>
      <c r="AL9" s="328"/>
      <c r="AM9" s="328"/>
      <c r="AN9" s="328"/>
      <c r="AO9" s="328"/>
      <c r="AP9" s="328"/>
      <c r="AQ9" s="328"/>
    </row>
    <row r="10" spans="1:44" x14ac:dyDescent="0.25">
      <c r="A10" s="566" t="s">
        <v>965</v>
      </c>
      <c r="B10" s="154">
        <f>+'NEW Summer CHP by DISC'!B10/15</f>
        <v>6.6</v>
      </c>
      <c r="C10" s="154">
        <f>+'NEW Summer CHP by DISC'!C10/15</f>
        <v>3.4</v>
      </c>
      <c r="D10" s="154">
        <f>+'NEW Summer CHP by DISC'!D10/12</f>
        <v>0</v>
      </c>
      <c r="E10" s="331">
        <f t="shared" si="9"/>
        <v>10</v>
      </c>
      <c r="F10" s="154">
        <f>+'NEW Summer CHP by DISC'!F10/15</f>
        <v>1.4</v>
      </c>
      <c r="G10" s="154">
        <f>+'NEW Summer CHP by DISC'!G10/15</f>
        <v>0</v>
      </c>
      <c r="H10" s="154">
        <f>+'NEW Summer CHP by DISC'!H10/12</f>
        <v>0</v>
      </c>
      <c r="I10" s="1209">
        <f t="shared" si="10"/>
        <v>1.4</v>
      </c>
      <c r="J10" s="155">
        <f t="shared" si="0"/>
        <v>-0.86</v>
      </c>
      <c r="K10" s="154">
        <f>+'NEW Summer CHP by DISC'!K10/15</f>
        <v>5.8</v>
      </c>
      <c r="L10" s="154">
        <f>+'NEW Summer CHP by DISC'!L10/15</f>
        <v>0</v>
      </c>
      <c r="M10" s="154">
        <f>+'NEW Summer CHP by DISC'!M10/12</f>
        <v>0</v>
      </c>
      <c r="N10" s="1209">
        <f t="shared" si="1"/>
        <v>5.8</v>
      </c>
      <c r="O10" s="155">
        <f t="shared" si="2"/>
        <v>3.1428571428571432</v>
      </c>
      <c r="P10" s="154">
        <f>+'NEW Summer CHP by DISC'!P10/15</f>
        <v>7.2</v>
      </c>
      <c r="Q10" s="154">
        <f>+'NEW Summer CHP by DISC'!Q10/15</f>
        <v>0</v>
      </c>
      <c r="R10" s="154">
        <f>+'NEW Summer CHP by DISC'!R10/12</f>
        <v>0</v>
      </c>
      <c r="S10" s="154">
        <f t="shared" si="3"/>
        <v>7.2</v>
      </c>
      <c r="T10" s="155">
        <f t="shared" si="4"/>
        <v>0.24137931034482765</v>
      </c>
      <c r="U10" s="154">
        <f>+'NEW Summer CHP by DISC'!U10/15</f>
        <v>7.4</v>
      </c>
      <c r="V10" s="154">
        <f>+'NEW Summer CHP by DISC'!V10/15</f>
        <v>0</v>
      </c>
      <c r="W10" s="154">
        <f>+'NEW Summer CHP by DISC'!W10/12</f>
        <v>0</v>
      </c>
      <c r="X10" s="154">
        <f t="shared" si="5"/>
        <v>7.4</v>
      </c>
      <c r="Y10" s="155">
        <f t="shared" si="6"/>
        <v>2.7777777777777801E-2</v>
      </c>
      <c r="Z10" s="154">
        <f>+'NEW Summer CHP by DISC'!Z10/15</f>
        <v>0.4</v>
      </c>
      <c r="AA10" s="154">
        <f>+'NEW Summer CHP by DISC'!AA10/15</f>
        <v>2.2000000000000002</v>
      </c>
      <c r="AB10" s="154">
        <f>+'NEW Summer CHP by DISC'!AB10/12</f>
        <v>0</v>
      </c>
      <c r="AC10" s="154">
        <f t="shared" si="7"/>
        <v>2.6</v>
      </c>
      <c r="AD10" s="567">
        <f t="shared" si="8"/>
        <v>-0.64864864864864868</v>
      </c>
      <c r="AE10" s="328"/>
      <c r="AF10" s="328"/>
      <c r="AG10" s="328"/>
      <c r="AH10" s="328"/>
      <c r="AI10" s="328"/>
      <c r="AJ10" s="328"/>
      <c r="AK10" s="328"/>
      <c r="AL10" s="328"/>
      <c r="AM10" s="328"/>
      <c r="AN10" s="328"/>
      <c r="AO10" s="328"/>
      <c r="AP10" s="328"/>
      <c r="AQ10" s="328"/>
    </row>
    <row r="11" spans="1:44" x14ac:dyDescent="0.25">
      <c r="A11" s="566" t="s">
        <v>966</v>
      </c>
      <c r="B11" s="154">
        <f>+'NEW Summer CHP by DISC'!B11/15</f>
        <v>0</v>
      </c>
      <c r="C11" s="154">
        <f>+'NEW Summer CHP by DISC'!C11/15</f>
        <v>3.4</v>
      </c>
      <c r="D11" s="154">
        <f>+'NEW Summer CHP by DISC'!D11/12</f>
        <v>0</v>
      </c>
      <c r="E11" s="331">
        <f t="shared" si="9"/>
        <v>3.4</v>
      </c>
      <c r="F11" s="154">
        <f>+'NEW Summer CHP by DISC'!F11/15</f>
        <v>0</v>
      </c>
      <c r="G11" s="154">
        <f>+'NEW Summer CHP by DISC'!G11/15</f>
        <v>3</v>
      </c>
      <c r="H11" s="154">
        <f>+'NEW Summer CHP by DISC'!H11/12</f>
        <v>0</v>
      </c>
      <c r="I11" s="1209">
        <f t="shared" si="10"/>
        <v>3</v>
      </c>
      <c r="J11" s="155">
        <f t="shared" si="0"/>
        <v>-0.11764705882352938</v>
      </c>
      <c r="K11" s="154">
        <f>+'NEW Summer CHP by DISC'!K11/15</f>
        <v>0</v>
      </c>
      <c r="L11" s="154">
        <f>+'NEW Summer CHP by DISC'!L11/15</f>
        <v>2.4</v>
      </c>
      <c r="M11" s="154">
        <f>+'NEW Summer CHP by DISC'!M11/12</f>
        <v>0</v>
      </c>
      <c r="N11" s="1209">
        <f t="shared" si="1"/>
        <v>2.4</v>
      </c>
      <c r="O11" s="155">
        <f t="shared" si="2"/>
        <v>-0.20000000000000004</v>
      </c>
      <c r="P11" s="154">
        <f>+'NEW Summer CHP by DISC'!P11/15</f>
        <v>0</v>
      </c>
      <c r="Q11" s="154">
        <f>+'NEW Summer CHP by DISC'!Q11/15</f>
        <v>3.6</v>
      </c>
      <c r="R11" s="154">
        <f>+'NEW Summer CHP by DISC'!R11/12</f>
        <v>0</v>
      </c>
      <c r="S11" s="154">
        <f t="shared" si="3"/>
        <v>3.6</v>
      </c>
      <c r="T11" s="155">
        <f t="shared" si="4"/>
        <v>0.50000000000000011</v>
      </c>
      <c r="U11" s="154">
        <f>+'NEW Summer CHP by DISC'!U11/15</f>
        <v>0.6</v>
      </c>
      <c r="V11" s="154">
        <f>+'NEW Summer CHP by DISC'!V11/15</f>
        <v>7.2</v>
      </c>
      <c r="W11" s="154">
        <f>+'NEW Summer CHP by DISC'!W11/12</f>
        <v>0</v>
      </c>
      <c r="X11" s="154">
        <f t="shared" si="5"/>
        <v>7.8</v>
      </c>
      <c r="Y11" s="155">
        <f t="shared" si="6"/>
        <v>1.1666666666666665</v>
      </c>
      <c r="Z11" s="154">
        <f>+'NEW Summer CHP by DISC'!Z11/15</f>
        <v>2.2000000000000002</v>
      </c>
      <c r="AA11" s="154">
        <f>+'NEW Summer CHP by DISC'!AA11/15</f>
        <v>3.6</v>
      </c>
      <c r="AB11" s="154">
        <f>+'NEW Summer CHP by DISC'!AB11/12</f>
        <v>0</v>
      </c>
      <c r="AC11" s="154">
        <f t="shared" si="7"/>
        <v>5.8000000000000007</v>
      </c>
      <c r="AD11" s="567">
        <f t="shared" si="8"/>
        <v>-0.25641025641025628</v>
      </c>
      <c r="AE11" s="328"/>
      <c r="AF11" s="328"/>
      <c r="AG11" s="328"/>
      <c r="AH11" s="328"/>
      <c r="AI11" s="328"/>
      <c r="AJ11" s="328"/>
      <c r="AK11" s="328"/>
      <c r="AL11" s="328"/>
      <c r="AM11" s="328"/>
      <c r="AN11" s="328"/>
      <c r="AO11" s="328"/>
      <c r="AP11" s="328"/>
      <c r="AQ11" s="328"/>
    </row>
    <row r="12" spans="1:44" x14ac:dyDescent="0.25">
      <c r="A12" s="566" t="s">
        <v>967</v>
      </c>
      <c r="B12" s="154">
        <f>+'NEW Summer CHP by DISC'!B12/15</f>
        <v>3.1333333333333333</v>
      </c>
      <c r="C12" s="154">
        <f>+'NEW Summer CHP by DISC'!C12/15</f>
        <v>0.6</v>
      </c>
      <c r="D12" s="154">
        <f>+'NEW Summer CHP by DISC'!D12/12</f>
        <v>0</v>
      </c>
      <c r="E12" s="331">
        <f t="shared" si="9"/>
        <v>3.7333333333333334</v>
      </c>
      <c r="F12" s="154">
        <f>+'NEW Summer CHP by DISC'!F12/15</f>
        <v>3.2</v>
      </c>
      <c r="G12" s="154">
        <f>+'NEW Summer CHP by DISC'!G12/15</f>
        <v>1</v>
      </c>
      <c r="H12" s="154">
        <f>+'NEW Summer CHP by DISC'!H12/12</f>
        <v>0</v>
      </c>
      <c r="I12" s="1209">
        <f t="shared" si="10"/>
        <v>4.2</v>
      </c>
      <c r="J12" s="155">
        <f t="shared" si="0"/>
        <v>0.12500000000000003</v>
      </c>
      <c r="K12" s="154">
        <f>+'NEW Summer CHP by DISC'!K12/15</f>
        <v>4.2</v>
      </c>
      <c r="L12" s="154">
        <f>+'NEW Summer CHP by DISC'!L12/15</f>
        <v>0.4</v>
      </c>
      <c r="M12" s="154">
        <f>+'NEW Summer CHP by DISC'!M12/12</f>
        <v>0</v>
      </c>
      <c r="N12" s="1209">
        <f t="shared" si="1"/>
        <v>4.6000000000000005</v>
      </c>
      <c r="O12" s="155">
        <f t="shared" si="2"/>
        <v>9.5238095238095316E-2</v>
      </c>
      <c r="P12" s="154">
        <f>+'NEW Summer CHP by DISC'!P12/15</f>
        <v>3</v>
      </c>
      <c r="Q12" s="154">
        <f>+'NEW Summer CHP by DISC'!Q12/15</f>
        <v>2.4</v>
      </c>
      <c r="R12" s="154">
        <f>+'NEW Summer CHP by DISC'!R12/12</f>
        <v>0</v>
      </c>
      <c r="S12" s="154">
        <f t="shared" si="3"/>
        <v>5.4</v>
      </c>
      <c r="T12" s="155">
        <f t="shared" si="4"/>
        <v>0.17391304347826081</v>
      </c>
      <c r="U12" s="154">
        <f>+'NEW Summer CHP by DISC'!U12/15</f>
        <v>2.1333333333333333</v>
      </c>
      <c r="V12" s="154">
        <f>+'NEW Summer CHP by DISC'!V12/15</f>
        <v>2</v>
      </c>
      <c r="W12" s="154">
        <f>+'NEW Summer CHP by DISC'!W12/12</f>
        <v>0</v>
      </c>
      <c r="X12" s="154">
        <f t="shared" si="5"/>
        <v>4.1333333333333329</v>
      </c>
      <c r="Y12" s="155">
        <f t="shared" si="6"/>
        <v>-0.23456790123456803</v>
      </c>
      <c r="Z12" s="154">
        <f>+'NEW Summer CHP by DISC'!Z12/15</f>
        <v>0.6</v>
      </c>
      <c r="AA12" s="154">
        <f>+'NEW Summer CHP by DISC'!AA12/15</f>
        <v>4</v>
      </c>
      <c r="AB12" s="154">
        <f>+'NEW Summer CHP by DISC'!AB12/12</f>
        <v>0</v>
      </c>
      <c r="AC12" s="154">
        <f t="shared" si="7"/>
        <v>4.5999999999999996</v>
      </c>
      <c r="AD12" s="567">
        <f t="shared" si="8"/>
        <v>0.11290322580645165</v>
      </c>
      <c r="AE12" s="328"/>
      <c r="AF12" s="328"/>
      <c r="AG12" s="328"/>
      <c r="AH12" s="328"/>
      <c r="AI12" s="328"/>
      <c r="AJ12" s="328"/>
      <c r="AK12" s="328"/>
      <c r="AL12" s="328"/>
      <c r="AM12" s="328"/>
      <c r="AN12" s="328"/>
      <c r="AO12" s="328"/>
      <c r="AP12" s="328"/>
      <c r="AQ12" s="328"/>
    </row>
    <row r="13" spans="1:44" x14ac:dyDescent="0.25">
      <c r="A13" s="566" t="s">
        <v>968</v>
      </c>
      <c r="B13" s="154">
        <f>+'NEW Summer CHP by DISC'!B13/15</f>
        <v>0</v>
      </c>
      <c r="C13" s="154">
        <f>+'NEW Summer CHP by DISC'!C13/15</f>
        <v>10.4</v>
      </c>
      <c r="D13" s="154">
        <f>+'NEW Summer CHP by DISC'!D13/12</f>
        <v>0</v>
      </c>
      <c r="E13" s="331">
        <f t="shared" si="9"/>
        <v>10.4</v>
      </c>
      <c r="F13" s="154">
        <f>+'NEW Summer CHP by DISC'!F13/15</f>
        <v>0</v>
      </c>
      <c r="G13" s="154">
        <f>+'NEW Summer CHP by DISC'!G13/15</f>
        <v>9.8000000000000007</v>
      </c>
      <c r="H13" s="154">
        <f>+'NEW Summer CHP by DISC'!H13/12</f>
        <v>0</v>
      </c>
      <c r="I13" s="1209">
        <f t="shared" si="10"/>
        <v>9.8000000000000007</v>
      </c>
      <c r="J13" s="155">
        <f t="shared" si="0"/>
        <v>-5.7692307692307654E-2</v>
      </c>
      <c r="K13" s="154">
        <f>+'NEW Summer CHP by DISC'!K13/15</f>
        <v>0</v>
      </c>
      <c r="L13" s="154">
        <f>+'NEW Summer CHP by DISC'!L13/15</f>
        <v>6.6</v>
      </c>
      <c r="M13" s="154">
        <f>+'NEW Summer CHP by DISC'!M13/12</f>
        <v>0</v>
      </c>
      <c r="N13" s="1209">
        <f t="shared" si="1"/>
        <v>6.6</v>
      </c>
      <c r="O13" s="155">
        <f t="shared" si="2"/>
        <v>-0.32653061224489804</v>
      </c>
      <c r="P13" s="154">
        <f>+'NEW Summer CHP by DISC'!P13/15</f>
        <v>0</v>
      </c>
      <c r="Q13" s="154">
        <f>+'NEW Summer CHP by DISC'!Q13/15</f>
        <v>10.4</v>
      </c>
      <c r="R13" s="154">
        <f>+'NEW Summer CHP by DISC'!R13/12</f>
        <v>0</v>
      </c>
      <c r="S13" s="154">
        <f t="shared" si="3"/>
        <v>10.4</v>
      </c>
      <c r="T13" s="155">
        <f t="shared" si="4"/>
        <v>0.57575757575757591</v>
      </c>
      <c r="U13" s="154">
        <f>+'NEW Summer CHP by DISC'!U13/15</f>
        <v>0</v>
      </c>
      <c r="V13" s="154">
        <f>+'NEW Summer CHP by DISC'!V13/15</f>
        <v>15.6</v>
      </c>
      <c r="W13" s="154">
        <f>+'NEW Summer CHP by DISC'!W13/12</f>
        <v>0</v>
      </c>
      <c r="X13" s="154">
        <f t="shared" si="5"/>
        <v>15.6</v>
      </c>
      <c r="Y13" s="155">
        <f t="shared" si="6"/>
        <v>0.49999999999999989</v>
      </c>
      <c r="Z13" s="154">
        <f>+'NEW Summer CHP by DISC'!Z13/15</f>
        <v>0</v>
      </c>
      <c r="AA13" s="154">
        <f>+'NEW Summer CHP by DISC'!AA13/15</f>
        <v>11.4</v>
      </c>
      <c r="AB13" s="154">
        <f>+'NEW Summer CHP by DISC'!AB13/12</f>
        <v>0</v>
      </c>
      <c r="AC13" s="154">
        <f t="shared" si="7"/>
        <v>11.4</v>
      </c>
      <c r="AD13" s="567">
        <f t="shared" si="8"/>
        <v>-0.26923076923076922</v>
      </c>
      <c r="AE13" s="328"/>
      <c r="AF13" s="328"/>
      <c r="AG13" s="328"/>
      <c r="AH13" s="328"/>
      <c r="AI13" s="328"/>
      <c r="AJ13" s="328"/>
      <c r="AK13" s="328"/>
      <c r="AL13" s="328"/>
      <c r="AM13" s="328"/>
      <c r="AN13" s="328"/>
      <c r="AO13" s="328"/>
      <c r="AP13" s="328"/>
      <c r="AQ13" s="328"/>
    </row>
    <row r="14" spans="1:44" x14ac:dyDescent="0.25">
      <c r="A14" s="566" t="s">
        <v>969</v>
      </c>
      <c r="B14" s="154">
        <f>+'NEW Summer CHP by DISC'!B14/15</f>
        <v>0</v>
      </c>
      <c r="C14" s="154">
        <f>+'NEW Summer CHP by DISC'!C14/15</f>
        <v>7.2</v>
      </c>
      <c r="D14" s="154">
        <f>+'NEW Summer CHP by DISC'!D14/12</f>
        <v>0</v>
      </c>
      <c r="E14" s="331">
        <f t="shared" si="9"/>
        <v>7.2</v>
      </c>
      <c r="F14" s="154">
        <f>+'NEW Summer CHP by DISC'!F14/15</f>
        <v>0</v>
      </c>
      <c r="G14" s="154">
        <f>+'NEW Summer CHP by DISC'!G14/15</f>
        <v>4.4000000000000004</v>
      </c>
      <c r="H14" s="154">
        <f>+'NEW Summer CHP by DISC'!H14/12</f>
        <v>0</v>
      </c>
      <c r="I14" s="1209">
        <f t="shared" si="10"/>
        <v>4.4000000000000004</v>
      </c>
      <c r="J14" s="155">
        <f t="shared" si="0"/>
        <v>-0.38888888888888884</v>
      </c>
      <c r="K14" s="154">
        <f>+'NEW Summer CHP by DISC'!K14/15</f>
        <v>0</v>
      </c>
      <c r="L14" s="154">
        <f>+'NEW Summer CHP by DISC'!L14/15</f>
        <v>2.8</v>
      </c>
      <c r="M14" s="154">
        <f>+'NEW Summer CHP by DISC'!M14/12</f>
        <v>0</v>
      </c>
      <c r="N14" s="1209">
        <f t="shared" si="1"/>
        <v>2.8</v>
      </c>
      <c r="O14" s="155">
        <f t="shared" si="2"/>
        <v>-0.3636363636363637</v>
      </c>
      <c r="P14" s="154">
        <f>+'NEW Summer CHP by DISC'!P14/15</f>
        <v>0</v>
      </c>
      <c r="Q14" s="154">
        <f>+'NEW Summer CHP by DISC'!Q14/15</f>
        <v>2.2000000000000002</v>
      </c>
      <c r="R14" s="154">
        <f>+'NEW Summer CHP by DISC'!R14/12</f>
        <v>0</v>
      </c>
      <c r="S14" s="154">
        <f t="shared" si="3"/>
        <v>2.2000000000000002</v>
      </c>
      <c r="T14" s="155">
        <f t="shared" si="4"/>
        <v>-0.21428571428571416</v>
      </c>
      <c r="U14" s="154">
        <f>+'NEW Summer CHP by DISC'!U14/15</f>
        <v>0</v>
      </c>
      <c r="V14" s="154">
        <f>+'NEW Summer CHP by DISC'!V14/15</f>
        <v>4.5999999999999996</v>
      </c>
      <c r="W14" s="154">
        <f>+'NEW Summer CHP by DISC'!W14/12</f>
        <v>0</v>
      </c>
      <c r="X14" s="154">
        <f t="shared" si="5"/>
        <v>4.5999999999999996</v>
      </c>
      <c r="Y14" s="155">
        <f t="shared" si="6"/>
        <v>1.0909090909090906</v>
      </c>
      <c r="Z14" s="154">
        <f>+'NEW Summer CHP by DISC'!Z14/15</f>
        <v>0</v>
      </c>
      <c r="AA14" s="154">
        <f>+'NEW Summer CHP by DISC'!AA14/15</f>
        <v>7</v>
      </c>
      <c r="AB14" s="154">
        <f>+'NEW Summer CHP by DISC'!AB14/12</f>
        <v>0</v>
      </c>
      <c r="AC14" s="154">
        <f t="shared" si="7"/>
        <v>7</v>
      </c>
      <c r="AD14" s="567">
        <f t="shared" si="8"/>
        <v>0.52173913043478271</v>
      </c>
      <c r="AE14" s="328"/>
      <c r="AF14" s="328"/>
      <c r="AG14" s="328"/>
      <c r="AH14" s="328"/>
      <c r="AI14" s="328"/>
      <c r="AJ14" s="328"/>
      <c r="AK14" s="328"/>
      <c r="AL14" s="328"/>
      <c r="AM14" s="328"/>
      <c r="AN14" s="328"/>
      <c r="AO14" s="328"/>
      <c r="AP14" s="328"/>
      <c r="AQ14" s="328"/>
    </row>
    <row r="15" spans="1:44" s="575" customFormat="1" ht="13.8" x14ac:dyDescent="0.25">
      <c r="A15" s="570" t="s">
        <v>961</v>
      </c>
      <c r="B15" s="571">
        <f t="shared" ref="B15:I15" si="11">SUM(B7:B14)</f>
        <v>13.466666666666665</v>
      </c>
      <c r="C15" s="571">
        <f t="shared" si="11"/>
        <v>33.266666666666673</v>
      </c>
      <c r="D15" s="571">
        <f t="shared" si="11"/>
        <v>0</v>
      </c>
      <c r="E15" s="572">
        <f t="shared" si="11"/>
        <v>46.733333333333334</v>
      </c>
      <c r="F15" s="571">
        <f t="shared" si="11"/>
        <v>9</v>
      </c>
      <c r="G15" s="571">
        <f t="shared" si="11"/>
        <v>28.266666666666666</v>
      </c>
      <c r="H15" s="571">
        <f t="shared" si="11"/>
        <v>0</v>
      </c>
      <c r="I15" s="1210">
        <f t="shared" si="11"/>
        <v>37.266666666666666</v>
      </c>
      <c r="J15" s="1211">
        <f t="shared" si="0"/>
        <v>-0.20256776034236809</v>
      </c>
      <c r="K15" s="571">
        <f t="shared" ref="K15:S15" si="12">SUM(K7:K14)</f>
        <v>20.666666666666664</v>
      </c>
      <c r="L15" s="571">
        <f t="shared" si="12"/>
        <v>27.266666666666662</v>
      </c>
      <c r="M15" s="571">
        <f t="shared" si="12"/>
        <v>0</v>
      </c>
      <c r="N15" s="1210">
        <f t="shared" si="12"/>
        <v>47.933333333333337</v>
      </c>
      <c r="O15" s="613">
        <f t="shared" si="2"/>
        <v>0.28622540250447243</v>
      </c>
      <c r="P15" s="571">
        <f t="shared" si="12"/>
        <v>22</v>
      </c>
      <c r="Q15" s="571">
        <f t="shared" si="12"/>
        <v>34.733333333333334</v>
      </c>
      <c r="R15" s="571">
        <f t="shared" si="12"/>
        <v>0</v>
      </c>
      <c r="S15" s="571">
        <f t="shared" si="12"/>
        <v>56.733333333333334</v>
      </c>
      <c r="T15" s="573">
        <f t="shared" si="4"/>
        <v>0.18358831710709311</v>
      </c>
      <c r="U15" s="571">
        <f>SUM(U7:U14)</f>
        <v>19</v>
      </c>
      <c r="V15" s="571">
        <f>SUM(V7:V14)</f>
        <v>50.733333333333334</v>
      </c>
      <c r="W15" s="571">
        <f>SUM(W7:W14)</f>
        <v>0</v>
      </c>
      <c r="X15" s="571">
        <f>SUM(X7:X14)</f>
        <v>69.73333333333332</v>
      </c>
      <c r="Y15" s="751">
        <f t="shared" si="6"/>
        <v>0.22914218566392455</v>
      </c>
      <c r="Z15" s="571">
        <f>SUM(Z7:Z14)</f>
        <v>5.4</v>
      </c>
      <c r="AA15" s="571">
        <f>SUM(AA7:AA14)</f>
        <v>51.266666666666666</v>
      </c>
      <c r="AB15" s="571">
        <f>SUM(AB7:AB14)</f>
        <v>0</v>
      </c>
      <c r="AC15" s="571">
        <f>SUM(AC7:AC14)</f>
        <v>56.666666666666671</v>
      </c>
      <c r="AD15" s="574">
        <f t="shared" si="8"/>
        <v>-0.18738049713193095</v>
      </c>
    </row>
    <row r="16" spans="1:44" x14ac:dyDescent="0.25">
      <c r="A16" s="576" t="s">
        <v>424</v>
      </c>
      <c r="B16" s="1155"/>
      <c r="C16" s="1155"/>
      <c r="D16" s="1155"/>
      <c r="E16" s="518"/>
      <c r="F16" s="1101"/>
      <c r="G16" s="1100"/>
      <c r="H16" s="1100"/>
      <c r="I16" s="578"/>
      <c r="J16" s="607"/>
      <c r="K16" s="577"/>
      <c r="L16" s="578"/>
      <c r="M16" s="578"/>
      <c r="N16" s="578"/>
      <c r="O16" s="607"/>
      <c r="P16" s="605"/>
      <c r="Q16" s="578"/>
      <c r="R16" s="578"/>
      <c r="S16" s="578"/>
      <c r="T16" s="518"/>
      <c r="U16" s="577"/>
      <c r="V16" s="578"/>
      <c r="W16" s="578"/>
      <c r="X16" s="578"/>
      <c r="Y16" s="518"/>
      <c r="Z16" s="605"/>
      <c r="AA16" s="578"/>
      <c r="AB16" s="578"/>
      <c r="AC16" s="578"/>
      <c r="AD16" s="599"/>
      <c r="AE16" s="328"/>
      <c r="AF16" s="328"/>
      <c r="AG16" s="328"/>
      <c r="AH16" s="328"/>
      <c r="AI16" s="328"/>
      <c r="AJ16" s="328"/>
      <c r="AK16" s="328"/>
      <c r="AL16" s="328"/>
      <c r="AM16" s="328"/>
      <c r="AN16" s="328"/>
      <c r="AO16" s="328"/>
      <c r="AP16" s="328"/>
      <c r="AQ16" s="328"/>
    </row>
    <row r="17" spans="1:43" s="372" customFormat="1" x14ac:dyDescent="0.25">
      <c r="A17" s="872" t="s">
        <v>503</v>
      </c>
      <c r="B17" s="154">
        <f>+'NEW Summer CHP by DISC'!B17/15</f>
        <v>0</v>
      </c>
      <c r="C17" s="154">
        <f>+'NEW Summer CHP by DISC'!C17/15</f>
        <v>1.2</v>
      </c>
      <c r="D17" s="154">
        <f>+'NEW Summer CHP by DISC'!D17/12</f>
        <v>0</v>
      </c>
      <c r="E17" s="375">
        <f>SUM(B17:D17)</f>
        <v>1.2</v>
      </c>
      <c r="F17" s="154">
        <f>+'NEW Summer CHP by DISC'!F17/15</f>
        <v>0</v>
      </c>
      <c r="G17" s="154">
        <f>+'NEW Summer CHP by DISC'!G17/15</f>
        <v>2.2000000000000002</v>
      </c>
      <c r="H17" s="154">
        <f>+'NEW Summer CHP by DISC'!H17/12</f>
        <v>0</v>
      </c>
      <c r="I17" s="581">
        <f>SUM(F17:H17)</f>
        <v>2.2000000000000002</v>
      </c>
      <c r="J17" s="155">
        <f t="shared" si="0"/>
        <v>0.83333333333333359</v>
      </c>
      <c r="K17" s="154">
        <f>+'NEW Summer CHP by DISC'!K17/15</f>
        <v>0</v>
      </c>
      <c r="L17" s="154">
        <f>+'NEW Summer CHP by DISC'!L17/15</f>
        <v>1.2</v>
      </c>
      <c r="M17" s="154">
        <f>+'NEW Summer CHP by DISC'!M17/12</f>
        <v>0</v>
      </c>
      <c r="N17" s="581">
        <f>SUM(K17:M17)</f>
        <v>1.2</v>
      </c>
      <c r="O17" s="155">
        <f>IF(I17&gt;0,(N17-I17)/I17,(IF(N17=0,"N/A",100%)))</f>
        <v>-0.45454545454545459</v>
      </c>
      <c r="P17" s="154">
        <f>+'NEW Summer CHP by DISC'!P17/15</f>
        <v>0</v>
      </c>
      <c r="Q17" s="154">
        <f>+'NEW Summer CHP by DISC'!Q17/15</f>
        <v>0</v>
      </c>
      <c r="R17" s="154">
        <f>+'NEW Summer CHP by DISC'!R17/12</f>
        <v>0</v>
      </c>
      <c r="S17" s="581">
        <f>SUM(P17:R17)</f>
        <v>0</v>
      </c>
      <c r="T17" s="582">
        <f>IF(N17&gt;0,(S17-N17)/N17,(IF(S17=0,"N/A",100%)))</f>
        <v>-1</v>
      </c>
      <c r="U17" s="154">
        <f>+'NEW Summer CHP by DISC'!U17/15</f>
        <v>0</v>
      </c>
      <c r="V17" s="154">
        <f>+'NEW Summer CHP by DISC'!V17/15</f>
        <v>0</v>
      </c>
      <c r="W17" s="154">
        <f>+'NEW Summer CHP by DISC'!W17/12</f>
        <v>0</v>
      </c>
      <c r="X17" s="581">
        <f>SUM(U17:W17)</f>
        <v>0</v>
      </c>
      <c r="Y17" s="582" t="str">
        <f>IF(S17&gt;0,(X17-S17)/S17,(IF(X17=0,"N/A",100%)))</f>
        <v>N/A</v>
      </c>
      <c r="Z17" s="154">
        <f>+'NEW Summer CHP by DISC'!Z17/15</f>
        <v>0</v>
      </c>
      <c r="AA17" s="154">
        <f>+'NEW Summer CHP by DISC'!AA17/15</f>
        <v>0</v>
      </c>
      <c r="AB17" s="154">
        <f>+'NEW Summer CHP by DISC'!AB17/12</f>
        <v>0</v>
      </c>
      <c r="AC17" s="581">
        <f>SUM(Z17:AB17)</f>
        <v>0</v>
      </c>
      <c r="AD17" s="583" t="str">
        <f>IF(X17&gt;0,(AC17-X17)/X17,(IF(AC17=0,"N/A",100%)))</f>
        <v>N/A</v>
      </c>
      <c r="AE17" s="871"/>
      <c r="AF17" s="871"/>
      <c r="AG17" s="871"/>
      <c r="AH17" s="871"/>
      <c r="AI17" s="871"/>
      <c r="AJ17" s="871"/>
      <c r="AK17" s="871"/>
      <c r="AL17" s="871"/>
      <c r="AM17" s="871"/>
      <c r="AN17" s="871"/>
      <c r="AO17" s="871"/>
      <c r="AP17" s="871"/>
      <c r="AQ17" s="871"/>
    </row>
    <row r="18" spans="1:43" x14ac:dyDescent="0.25">
      <c r="A18" s="579" t="s">
        <v>988</v>
      </c>
      <c r="B18" s="154">
        <f>+'NEW Summer CHP by DISC'!B18/15</f>
        <v>0</v>
      </c>
      <c r="C18" s="154">
        <f>+'NEW Summer CHP by DISC'!C18/15</f>
        <v>7.4</v>
      </c>
      <c r="D18" s="154">
        <f>+'NEW Summer CHP by DISC'!D18/12</f>
        <v>0</v>
      </c>
      <c r="E18" s="375">
        <f>SUM(B18:D18)</f>
        <v>7.4</v>
      </c>
      <c r="F18" s="154">
        <f>+'NEW Summer CHP by DISC'!F18/15</f>
        <v>3.8</v>
      </c>
      <c r="G18" s="154">
        <f>+'NEW Summer CHP by DISC'!G18/15</f>
        <v>6.4</v>
      </c>
      <c r="H18" s="154">
        <f>+'NEW Summer CHP by DISC'!H18/12</f>
        <v>0</v>
      </c>
      <c r="I18" s="581">
        <f>SUM(F18:H18)</f>
        <v>10.199999999999999</v>
      </c>
      <c r="J18" s="155">
        <f t="shared" si="0"/>
        <v>0.37837837837837823</v>
      </c>
      <c r="K18" s="154">
        <f>+'NEW Summer CHP by DISC'!K18/15</f>
        <v>2.2000000000000002</v>
      </c>
      <c r="L18" s="154">
        <f>+'NEW Summer CHP by DISC'!L18/15</f>
        <v>3.6</v>
      </c>
      <c r="M18" s="154">
        <f>+'NEW Summer CHP by DISC'!M18/12</f>
        <v>0</v>
      </c>
      <c r="N18" s="581">
        <f>SUM(K18:M18)</f>
        <v>5.8000000000000007</v>
      </c>
      <c r="O18" s="155">
        <f>IF(I18&gt;0,(N18-I18)/I18,(IF(N18=0,"N/A",100%)))</f>
        <v>-0.43137254901960775</v>
      </c>
      <c r="P18" s="154">
        <f>+'NEW Summer CHP by DISC'!P18/15</f>
        <v>2.8</v>
      </c>
      <c r="Q18" s="154">
        <f>+'NEW Summer CHP by DISC'!Q18/15</f>
        <v>3.4</v>
      </c>
      <c r="R18" s="154">
        <f>+'NEW Summer CHP by DISC'!R18/12</f>
        <v>0</v>
      </c>
      <c r="S18" s="581">
        <f>SUM(P18:R18)</f>
        <v>6.1999999999999993</v>
      </c>
      <c r="T18" s="582">
        <f>IF(N18&gt;0,(S18-N18)/N18,(IF(S18=0,"N/A",100%)))</f>
        <v>6.896551724137906E-2</v>
      </c>
      <c r="U18" s="154">
        <f>+'NEW Summer CHP by DISC'!U18/15</f>
        <v>3</v>
      </c>
      <c r="V18" s="154">
        <f>+'NEW Summer CHP by DISC'!V18/15</f>
        <v>3.6</v>
      </c>
      <c r="W18" s="154">
        <f>+'NEW Summer CHP by DISC'!W18/12</f>
        <v>0</v>
      </c>
      <c r="X18" s="581">
        <f>SUM(U18:W18)</f>
        <v>6.6</v>
      </c>
      <c r="Y18" s="582">
        <f>IF(S18&gt;0,(X18-S18)/S18,(IF(X18=0,"N/A",100%)))</f>
        <v>6.4516129032258132E-2</v>
      </c>
      <c r="Z18" s="154">
        <f>+'NEW Summer CHP by DISC'!Z18/15</f>
        <v>3.6</v>
      </c>
      <c r="AA18" s="154">
        <f>+'NEW Summer CHP by DISC'!AA18/15</f>
        <v>1.6</v>
      </c>
      <c r="AB18" s="154">
        <f>+'NEW Summer CHP by DISC'!AB18/12</f>
        <v>0</v>
      </c>
      <c r="AC18" s="581">
        <f>SUM(Z18:AB18)</f>
        <v>5.2</v>
      </c>
      <c r="AD18" s="583">
        <f>IF(X18&gt;0,(AC18-X18)/X18,(IF(AC18=0,"N/A",100%)))</f>
        <v>-0.21212121212121204</v>
      </c>
      <c r="AE18" s="328"/>
      <c r="AF18" s="328"/>
      <c r="AG18" s="328"/>
      <c r="AH18" s="328"/>
      <c r="AI18" s="328"/>
      <c r="AJ18" s="328"/>
      <c r="AK18" s="328"/>
      <c r="AL18" s="328"/>
      <c r="AM18" s="328"/>
      <c r="AN18" s="328"/>
      <c r="AO18" s="328"/>
      <c r="AP18" s="328"/>
      <c r="AQ18" s="328"/>
    </row>
    <row r="19" spans="1:43" x14ac:dyDescent="0.25">
      <c r="A19" s="579" t="s">
        <v>960</v>
      </c>
      <c r="B19" s="154">
        <f>+'NEW Summer CHP by DISC'!B19/15</f>
        <v>3.4</v>
      </c>
      <c r="C19" s="154">
        <f>+'NEW Summer CHP by DISC'!C19/15</f>
        <v>14.4</v>
      </c>
      <c r="D19" s="154">
        <f>+'NEW Summer CHP by DISC'!D19/12</f>
        <v>0</v>
      </c>
      <c r="E19" s="375">
        <f>SUM(B19:D19)</f>
        <v>17.8</v>
      </c>
      <c r="F19" s="154">
        <f>+'NEW Summer CHP by DISC'!F19/15</f>
        <v>3.8</v>
      </c>
      <c r="G19" s="154">
        <f>+'NEW Summer CHP by DISC'!G19/15</f>
        <v>7.8</v>
      </c>
      <c r="H19" s="154">
        <f>+'NEW Summer CHP by DISC'!H19/12</f>
        <v>0</v>
      </c>
      <c r="I19" s="581">
        <f>SUM(F19:H19)</f>
        <v>11.6</v>
      </c>
      <c r="J19" s="155">
        <f t="shared" si="0"/>
        <v>-0.34831460674157311</v>
      </c>
      <c r="K19" s="154">
        <f>+'NEW Summer CHP by DISC'!K19/15</f>
        <v>10</v>
      </c>
      <c r="L19" s="154">
        <f>+'NEW Summer CHP by DISC'!L19/15</f>
        <v>2.8</v>
      </c>
      <c r="M19" s="154">
        <f>+'NEW Summer CHP by DISC'!M19/12</f>
        <v>0</v>
      </c>
      <c r="N19" s="581">
        <f>SUM(K19:M19)</f>
        <v>12.8</v>
      </c>
      <c r="O19" s="155">
        <f>IF(I19&gt;0,(N19-I19)/I19,(IF(N19=0,"N/A",100%)))</f>
        <v>0.10344827586206906</v>
      </c>
      <c r="P19" s="154">
        <f>+'NEW Summer CHP by DISC'!P19/15</f>
        <v>8.1999999999999993</v>
      </c>
      <c r="Q19" s="154">
        <f>+'NEW Summer CHP by DISC'!Q19/15</f>
        <v>4.8</v>
      </c>
      <c r="R19" s="154">
        <f>+'NEW Summer CHP by DISC'!R19/12</f>
        <v>0</v>
      </c>
      <c r="S19" s="581">
        <f>SUM(P19:R19)</f>
        <v>13</v>
      </c>
      <c r="T19" s="582">
        <f>IF(N19&gt;0,(S19-N19)/N19,(IF(S19=0,"N/A",100%)))</f>
        <v>1.5624999999999944E-2</v>
      </c>
      <c r="U19" s="154">
        <f>+'NEW Summer CHP by DISC'!U19/15</f>
        <v>6.8</v>
      </c>
      <c r="V19" s="154">
        <f>+'NEW Summer CHP by DISC'!V19/15</f>
        <v>9.6</v>
      </c>
      <c r="W19" s="154">
        <f>+'NEW Summer CHP by DISC'!W19/12</f>
        <v>0</v>
      </c>
      <c r="X19" s="581">
        <f>SUM(U19:W19)</f>
        <v>16.399999999999999</v>
      </c>
      <c r="Y19" s="582">
        <f>IF(S19&gt;0,(X19-S19)/S19,(IF(X19=0,"N/A",100%)))</f>
        <v>0.26153846153846144</v>
      </c>
      <c r="Z19" s="154">
        <f>+'NEW Summer CHP by DISC'!Z19/15</f>
        <v>2.8</v>
      </c>
      <c r="AA19" s="154">
        <f>+'NEW Summer CHP by DISC'!AA19/15</f>
        <v>13.2</v>
      </c>
      <c r="AB19" s="154">
        <f>+'NEW Summer CHP by DISC'!AB19/12</f>
        <v>0</v>
      </c>
      <c r="AC19" s="581">
        <f>SUM(Z19:AB19)</f>
        <v>16</v>
      </c>
      <c r="AD19" s="583">
        <f>IF(X19&gt;0,(AC19-X19)/X19,(IF(AC19=0,"N/A",100%)))</f>
        <v>-2.4390243902438939E-2</v>
      </c>
      <c r="AE19" s="328"/>
      <c r="AF19" s="328"/>
      <c r="AG19" s="328"/>
      <c r="AH19" s="328"/>
      <c r="AI19" s="328"/>
      <c r="AJ19" s="328"/>
      <c r="AK19" s="328"/>
      <c r="AL19" s="328"/>
      <c r="AM19" s="328"/>
      <c r="AN19" s="328"/>
      <c r="AO19" s="328"/>
      <c r="AP19" s="328"/>
      <c r="AQ19" s="328"/>
    </row>
    <row r="20" spans="1:43" s="575" customFormat="1" ht="13.8" x14ac:dyDescent="0.25">
      <c r="A20" s="584" t="s">
        <v>961</v>
      </c>
      <c r="B20" s="586">
        <f t="shared" ref="B20:I20" si="13">SUM(B17:B19)</f>
        <v>3.4</v>
      </c>
      <c r="C20" s="586">
        <f t="shared" si="13"/>
        <v>23</v>
      </c>
      <c r="D20" s="586">
        <f t="shared" si="13"/>
        <v>0</v>
      </c>
      <c r="E20" s="587">
        <f t="shared" si="13"/>
        <v>26.4</v>
      </c>
      <c r="F20" s="586">
        <f t="shared" si="13"/>
        <v>7.6</v>
      </c>
      <c r="G20" s="586">
        <f t="shared" si="13"/>
        <v>16.400000000000002</v>
      </c>
      <c r="H20" s="586">
        <f t="shared" si="13"/>
        <v>0</v>
      </c>
      <c r="I20" s="586">
        <f t="shared" si="13"/>
        <v>24</v>
      </c>
      <c r="J20" s="668">
        <f>IF(E20&gt;0,(I20-E20)/E20,(IF(I20=0,"N/A",100%)))</f>
        <v>-9.0909090909090856E-2</v>
      </c>
      <c r="K20" s="586">
        <f t="shared" ref="K20:S20" si="14">SUM(K17:K19)</f>
        <v>12.2</v>
      </c>
      <c r="L20" s="586">
        <f t="shared" si="14"/>
        <v>7.6</v>
      </c>
      <c r="M20" s="586">
        <f t="shared" si="14"/>
        <v>0</v>
      </c>
      <c r="N20" s="586">
        <f t="shared" si="14"/>
        <v>19.8</v>
      </c>
      <c r="O20" s="613">
        <f>IF(I20&gt;0,(N20-I20)/I20,(IF(N20=0,"N/A",100%)))</f>
        <v>-0.17499999999999996</v>
      </c>
      <c r="P20" s="585">
        <f t="shared" si="14"/>
        <v>11</v>
      </c>
      <c r="Q20" s="586">
        <f t="shared" si="14"/>
        <v>8.1999999999999993</v>
      </c>
      <c r="R20" s="586">
        <f t="shared" si="14"/>
        <v>0</v>
      </c>
      <c r="S20" s="586">
        <f t="shared" si="14"/>
        <v>19.2</v>
      </c>
      <c r="T20" s="588">
        <f>IF(N20&gt;0,(S20-N20)/N20,(IF(S20=0,"N/A",100%)))</f>
        <v>-3.0303030303030373E-2</v>
      </c>
      <c r="U20" s="586">
        <f>SUM(U17:U19)</f>
        <v>9.8000000000000007</v>
      </c>
      <c r="V20" s="586">
        <f>SUM(V17:V19)</f>
        <v>13.2</v>
      </c>
      <c r="W20" s="586">
        <f>SUM(W17:W19)</f>
        <v>0</v>
      </c>
      <c r="X20" s="586">
        <f>SUM(X17:X19)</f>
        <v>23</v>
      </c>
      <c r="Y20" s="588">
        <f>IF(S20&gt;0,(X20-S20)/S20,(IF(X20=0,"N/A",100%)))</f>
        <v>0.19791666666666671</v>
      </c>
      <c r="Z20" s="585">
        <f>SUM(Z17:Z19)</f>
        <v>6.4</v>
      </c>
      <c r="AA20" s="586">
        <f>SUM(AA17:AA19)</f>
        <v>14.799999999999999</v>
      </c>
      <c r="AB20" s="586">
        <f>SUM(AB17:AB19)</f>
        <v>0</v>
      </c>
      <c r="AC20" s="586">
        <f>SUM(AC17:AC19)</f>
        <v>21.2</v>
      </c>
      <c r="AD20" s="589">
        <f>IF(X20&gt;0,(AC20-X20)/X20,(IF(AC20=0,"N/A",100%)))</f>
        <v>-7.8260869565217425E-2</v>
      </c>
    </row>
    <row r="21" spans="1:43" s="596" customFormat="1" ht="16.2" thickBot="1" x14ac:dyDescent="0.35">
      <c r="A21" s="590" t="s">
        <v>425</v>
      </c>
      <c r="B21" s="592">
        <f t="shared" ref="B21:I21" si="15">+B20+B15</f>
        <v>16.866666666666664</v>
      </c>
      <c r="C21" s="592">
        <f t="shared" si="15"/>
        <v>56.266666666666673</v>
      </c>
      <c r="D21" s="592">
        <f t="shared" si="15"/>
        <v>0</v>
      </c>
      <c r="E21" s="593">
        <f t="shared" si="15"/>
        <v>73.133333333333326</v>
      </c>
      <c r="F21" s="592">
        <f t="shared" si="15"/>
        <v>16.600000000000001</v>
      </c>
      <c r="G21" s="592">
        <f t="shared" si="15"/>
        <v>44.666666666666671</v>
      </c>
      <c r="H21" s="592">
        <f t="shared" si="15"/>
        <v>0</v>
      </c>
      <c r="I21" s="592">
        <f t="shared" si="15"/>
        <v>61.266666666666666</v>
      </c>
      <c r="J21" s="642">
        <f>IF(E21&gt;0,(I21-E21)/E21,(IF(I21=0,"N/A",100%)))</f>
        <v>-0.16226071103008197</v>
      </c>
      <c r="K21" s="592">
        <f t="shared" ref="K21:S21" si="16">+K20+K15</f>
        <v>32.86666666666666</v>
      </c>
      <c r="L21" s="592">
        <f t="shared" si="16"/>
        <v>34.86666666666666</v>
      </c>
      <c r="M21" s="592">
        <f t="shared" si="16"/>
        <v>0</v>
      </c>
      <c r="N21" s="592">
        <f t="shared" si="16"/>
        <v>67.733333333333334</v>
      </c>
      <c r="O21" s="594">
        <f>IF(I21&gt;0,(N21-I21)/I21,(IF(N21=0,"N/A",100%)))</f>
        <v>0.10554951033732321</v>
      </c>
      <c r="P21" s="591">
        <f t="shared" si="16"/>
        <v>33</v>
      </c>
      <c r="Q21" s="592">
        <f t="shared" si="16"/>
        <v>42.933333333333337</v>
      </c>
      <c r="R21" s="592">
        <f t="shared" si="16"/>
        <v>0</v>
      </c>
      <c r="S21" s="592">
        <f t="shared" si="16"/>
        <v>75.933333333333337</v>
      </c>
      <c r="T21" s="594">
        <f>IF(N21&gt;0,(S21-N21)/N21,(IF(S21=0,"N/A",100%)))</f>
        <v>0.12106299212598429</v>
      </c>
      <c r="U21" s="592">
        <f>+U20+U15</f>
        <v>28.8</v>
      </c>
      <c r="V21" s="592">
        <f>+V20+V15</f>
        <v>63.933333333333337</v>
      </c>
      <c r="W21" s="592">
        <f>+W20+W15</f>
        <v>0</v>
      </c>
      <c r="X21" s="592">
        <f>+X20+X15</f>
        <v>92.73333333333332</v>
      </c>
      <c r="Y21" s="594">
        <f>IF(S21&gt;0,(X21-S21)/S21,(IF(X21=0,"N/A",100%)))</f>
        <v>0.22124670763827894</v>
      </c>
      <c r="Z21" s="591">
        <f>+Z20+Z15</f>
        <v>11.8</v>
      </c>
      <c r="AA21" s="592">
        <f>+AA20+AA15</f>
        <v>66.066666666666663</v>
      </c>
      <c r="AB21" s="592">
        <f>+AB20+AB15</f>
        <v>0</v>
      </c>
      <c r="AC21" s="592">
        <f>+AC20+AC15</f>
        <v>77.866666666666674</v>
      </c>
      <c r="AD21" s="595">
        <f>IF(X21&gt;0,(AC21-X21)/X21,(IF(AC21=0,"N/A",100%)))</f>
        <v>-0.16031631919482367</v>
      </c>
    </row>
    <row r="22" spans="1:43" ht="13.8" thickTop="1" x14ac:dyDescent="0.25">
      <c r="A22" s="597"/>
      <c r="B22" s="597"/>
      <c r="C22" s="597"/>
      <c r="D22" s="597"/>
      <c r="E22" s="597"/>
      <c r="F22" s="597"/>
      <c r="G22" s="597"/>
      <c r="H22" s="597"/>
      <c r="I22" s="597"/>
      <c r="J22" s="597"/>
      <c r="K22" s="335"/>
      <c r="L22" s="335"/>
      <c r="M22" s="335"/>
      <c r="N22" s="335"/>
      <c r="O22" s="335"/>
      <c r="P22" s="335"/>
      <c r="Q22" s="335"/>
      <c r="R22" s="335"/>
      <c r="S22" s="335"/>
      <c r="T22" s="598"/>
      <c r="U22" s="335"/>
      <c r="V22" s="335"/>
      <c r="W22" s="335"/>
      <c r="X22" s="335"/>
      <c r="Y22" s="645"/>
      <c r="Z22" s="328"/>
      <c r="AA22" s="328"/>
      <c r="AB22" s="328"/>
      <c r="AC22" s="328"/>
      <c r="AD22" s="328"/>
      <c r="AE22" s="328"/>
      <c r="AF22" s="328"/>
      <c r="AG22" s="328"/>
      <c r="AH22" s="328"/>
      <c r="AI22" s="328"/>
      <c r="AJ22" s="328"/>
      <c r="AK22" s="328"/>
      <c r="AL22" s="328"/>
      <c r="AM22" s="328"/>
      <c r="AN22" s="328"/>
      <c r="AO22" s="328"/>
      <c r="AP22" s="328"/>
      <c r="AQ22" s="328"/>
    </row>
    <row r="23" spans="1:43" ht="13.8" thickBot="1" x14ac:dyDescent="0.3">
      <c r="A23" s="597"/>
      <c r="B23" s="597"/>
      <c r="C23" s="597"/>
      <c r="D23" s="597"/>
      <c r="E23" s="597"/>
      <c r="F23" s="597"/>
      <c r="G23" s="597"/>
      <c r="H23" s="597"/>
      <c r="I23" s="597"/>
      <c r="J23" s="597"/>
      <c r="K23" s="335"/>
      <c r="L23" s="335"/>
      <c r="M23" s="335"/>
      <c r="N23" s="335"/>
      <c r="O23" s="335"/>
      <c r="P23" s="335"/>
      <c r="Q23" s="335"/>
      <c r="R23" s="335"/>
      <c r="S23" s="335"/>
      <c r="T23" s="598"/>
      <c r="U23" s="335"/>
      <c r="V23" s="335"/>
      <c r="W23" s="335"/>
      <c r="X23" s="335"/>
      <c r="Y23" s="598"/>
      <c r="Z23" s="328"/>
      <c r="AA23" s="328"/>
      <c r="AB23" s="328"/>
      <c r="AC23" s="328"/>
      <c r="AD23" s="328"/>
      <c r="AE23" s="328"/>
      <c r="AF23" s="328"/>
      <c r="AG23" s="328"/>
      <c r="AH23" s="328"/>
      <c r="AI23" s="328"/>
      <c r="AJ23" s="328"/>
      <c r="AK23" s="328"/>
      <c r="AL23" s="328"/>
      <c r="AM23" s="328"/>
      <c r="AN23" s="328"/>
      <c r="AO23" s="328"/>
      <c r="AP23" s="328"/>
      <c r="AQ23" s="328"/>
    </row>
    <row r="24" spans="1:43" customFormat="1" ht="18" thickBot="1" x14ac:dyDescent="0.35">
      <c r="A24" s="1718" t="s">
        <v>415</v>
      </c>
      <c r="B24" s="1719"/>
      <c r="C24" s="1719"/>
      <c r="D24" s="1719"/>
      <c r="E24" s="1719"/>
      <c r="F24" s="1719"/>
      <c r="G24" s="1719"/>
      <c r="H24" s="1719"/>
      <c r="I24" s="1719"/>
      <c r="J24" s="1719"/>
      <c r="K24" s="1719"/>
      <c r="L24" s="1719"/>
      <c r="M24" s="1719"/>
      <c r="N24" s="1719"/>
      <c r="O24" s="1719"/>
      <c r="P24" s="1719"/>
      <c r="Q24" s="1719"/>
      <c r="R24" s="1719"/>
      <c r="S24" s="1719"/>
      <c r="T24" s="1719"/>
      <c r="U24" s="1719"/>
      <c r="V24" s="1719"/>
      <c r="W24" s="1719"/>
      <c r="X24" s="1719"/>
      <c r="Y24" s="1719"/>
      <c r="Z24" s="1719"/>
      <c r="AA24" s="1719"/>
      <c r="AB24" s="1719"/>
      <c r="AC24" s="1719"/>
      <c r="AD24" s="1720"/>
    </row>
    <row r="25" spans="1:43" ht="26.4" x14ac:dyDescent="0.25">
      <c r="A25" s="1723" t="s">
        <v>952</v>
      </c>
      <c r="B25" s="1480" t="s">
        <v>954</v>
      </c>
      <c r="C25" s="1480" t="s">
        <v>955</v>
      </c>
      <c r="D25" s="1480" t="s">
        <v>956</v>
      </c>
      <c r="E25" s="820" t="s">
        <v>957</v>
      </c>
      <c r="F25" s="148" t="s">
        <v>954</v>
      </c>
      <c r="G25" s="1480" t="s">
        <v>955</v>
      </c>
      <c r="H25" s="1480" t="s">
        <v>956</v>
      </c>
      <c r="I25" s="1481" t="s">
        <v>957</v>
      </c>
      <c r="J25" s="820" t="s">
        <v>958</v>
      </c>
      <c r="K25" s="148" t="s">
        <v>954</v>
      </c>
      <c r="L25" s="148" t="s">
        <v>955</v>
      </c>
      <c r="M25" s="148" t="s">
        <v>956</v>
      </c>
      <c r="N25" s="1481" t="s">
        <v>1015</v>
      </c>
      <c r="O25" s="149" t="s">
        <v>958</v>
      </c>
      <c r="P25" s="148" t="s">
        <v>954</v>
      </c>
      <c r="Q25" s="148" t="s">
        <v>955</v>
      </c>
      <c r="R25" s="148" t="s">
        <v>956</v>
      </c>
      <c r="S25" s="1481" t="s">
        <v>1015</v>
      </c>
      <c r="T25" s="149" t="s">
        <v>1017</v>
      </c>
      <c r="U25" s="148" t="s">
        <v>954</v>
      </c>
      <c r="V25" s="148" t="s">
        <v>955</v>
      </c>
      <c r="W25" s="148" t="s">
        <v>956</v>
      </c>
      <c r="X25" s="1481" t="s">
        <v>1015</v>
      </c>
      <c r="Y25" s="821" t="s">
        <v>1017</v>
      </c>
      <c r="Z25" s="148" t="s">
        <v>954</v>
      </c>
      <c r="AA25" s="148" t="s">
        <v>955</v>
      </c>
      <c r="AB25" s="148" t="s">
        <v>956</v>
      </c>
      <c r="AC25" s="1481" t="s">
        <v>1015</v>
      </c>
      <c r="AD25" s="779" t="s">
        <v>1017</v>
      </c>
      <c r="AE25" s="328"/>
      <c r="AF25" s="328"/>
      <c r="AG25" s="328"/>
      <c r="AH25" s="328"/>
      <c r="AI25" s="328"/>
      <c r="AJ25" s="328"/>
      <c r="AK25" s="328"/>
      <c r="AL25" s="328"/>
      <c r="AM25" s="329"/>
      <c r="AN25" s="328"/>
      <c r="AO25" s="328"/>
      <c r="AP25" s="328"/>
      <c r="AQ25" s="328"/>
    </row>
    <row r="26" spans="1:43" ht="12.75" customHeight="1" x14ac:dyDescent="0.25">
      <c r="A26" s="1724"/>
      <c r="B26" s="1742" t="s">
        <v>1407</v>
      </c>
      <c r="C26" s="1742"/>
      <c r="D26" s="1742"/>
      <c r="E26" s="1743"/>
      <c r="F26" s="1742" t="s">
        <v>1408</v>
      </c>
      <c r="G26" s="1742"/>
      <c r="H26" s="1742"/>
      <c r="I26" s="1742"/>
      <c r="J26" s="1743"/>
      <c r="K26" s="1726" t="s">
        <v>1396</v>
      </c>
      <c r="L26" s="1727"/>
      <c r="M26" s="1727"/>
      <c r="N26" s="1727"/>
      <c r="O26" s="1728"/>
      <c r="P26" s="1727" t="s">
        <v>1397</v>
      </c>
      <c r="Q26" s="1727"/>
      <c r="R26" s="1727"/>
      <c r="S26" s="1727"/>
      <c r="T26" s="1728"/>
      <c r="U26" s="1726" t="s">
        <v>1398</v>
      </c>
      <c r="V26" s="1727"/>
      <c r="W26" s="1727"/>
      <c r="X26" s="1727"/>
      <c r="Y26" s="1728"/>
      <c r="Z26" s="1727" t="str">
        <f>+Z5</f>
        <v>Summer 2013</v>
      </c>
      <c r="AA26" s="1727"/>
      <c r="AB26" s="1727"/>
      <c r="AC26" s="1727"/>
      <c r="AD26" s="1735"/>
      <c r="AE26" s="328"/>
      <c r="AF26" s="328"/>
      <c r="AG26" s="328"/>
      <c r="AH26" s="328"/>
      <c r="AI26" s="328"/>
      <c r="AJ26" s="328"/>
      <c r="AK26" s="328"/>
      <c r="AL26" s="328"/>
      <c r="AM26" s="328"/>
      <c r="AN26" s="328"/>
      <c r="AO26" s="328"/>
      <c r="AP26" s="328"/>
      <c r="AQ26" s="328"/>
    </row>
    <row r="27" spans="1:43" x14ac:dyDescent="0.25">
      <c r="A27" s="576" t="s">
        <v>426</v>
      </c>
      <c r="B27" s="1163"/>
      <c r="C27" s="1163"/>
      <c r="D27" s="1163"/>
      <c r="E27" s="1166"/>
      <c r="F27" s="1163"/>
      <c r="G27" s="1163"/>
      <c r="H27" s="1163"/>
      <c r="I27" s="1163"/>
      <c r="J27" s="1166"/>
      <c r="K27" s="151"/>
      <c r="L27" s="152"/>
      <c r="M27" s="152"/>
      <c r="N27" s="152"/>
      <c r="O27" s="607"/>
      <c r="P27" s="151"/>
      <c r="Q27" s="152"/>
      <c r="R27" s="152"/>
      <c r="S27" s="152"/>
      <c r="T27" s="153"/>
      <c r="U27" s="151"/>
      <c r="V27" s="152"/>
      <c r="W27" s="152"/>
      <c r="X27" s="152"/>
      <c r="Y27" s="518"/>
      <c r="Z27" s="151"/>
      <c r="AA27" s="152"/>
      <c r="AB27" s="152"/>
      <c r="AC27" s="152"/>
      <c r="AD27" s="599"/>
      <c r="AE27" s="328"/>
      <c r="AF27" s="328"/>
      <c r="AG27" s="328"/>
      <c r="AH27" s="328"/>
      <c r="AI27" s="328"/>
      <c r="AJ27" s="328"/>
      <c r="AK27" s="328"/>
      <c r="AL27" s="328"/>
      <c r="AM27" s="328"/>
      <c r="AN27" s="328"/>
      <c r="AO27" s="328"/>
      <c r="AP27" s="328"/>
      <c r="AQ27" s="328"/>
    </row>
    <row r="28" spans="1:43" x14ac:dyDescent="0.25">
      <c r="A28" s="566" t="s">
        <v>971</v>
      </c>
      <c r="B28" s="154">
        <f>+'NEW Summer CHP by DISC'!B28/15</f>
        <v>0.4</v>
      </c>
      <c r="C28" s="154">
        <f>+'NEW Summer CHP by DISC'!C28/15</f>
        <v>1.8666666666666667</v>
      </c>
      <c r="D28" s="154">
        <f>+'NEW Summer CHP by DISC'!D28/12</f>
        <v>0</v>
      </c>
      <c r="E28" s="375">
        <f>SUM(B28:D28)</f>
        <v>2.2666666666666666</v>
      </c>
      <c r="F28" s="154">
        <f>+'NEW Summer CHP by DISC'!F28/15</f>
        <v>0.6</v>
      </c>
      <c r="G28" s="154">
        <f>+'NEW Summer CHP by DISC'!G28/15</f>
        <v>0.2</v>
      </c>
      <c r="H28" s="154">
        <f>+'NEW Summer CHP by DISC'!H28/12</f>
        <v>0</v>
      </c>
      <c r="I28" s="154">
        <f>SUM(F28:H28)</f>
        <v>0.8</v>
      </c>
      <c r="J28" s="582">
        <f t="shared" ref="J28:J33" si="17">IF(E28&gt;0,(I28-E28)/E28,(IF(I28=0,"N/A",100%)))</f>
        <v>-0.64705882352941169</v>
      </c>
      <c r="K28" s="154">
        <f>+'NEW Summer CHP by DISC'!K28/15</f>
        <v>1</v>
      </c>
      <c r="L28" s="154">
        <f>+'NEW Summer CHP by DISC'!L28/15</f>
        <v>0</v>
      </c>
      <c r="M28" s="154">
        <f>+'NEW Summer CHP by DISC'!M28/12</f>
        <v>0</v>
      </c>
      <c r="N28" s="1209">
        <f>SUM(K28:M28)</f>
        <v>1</v>
      </c>
      <c r="O28" s="155">
        <f t="shared" ref="O28:O33" si="18">IF(I28&gt;0,(N28-I28)/I28,(IF(N28=0,"N/A",100%)))</f>
        <v>0.24999999999999994</v>
      </c>
      <c r="P28" s="154">
        <f>+'NEW Summer CHP by DISC'!P28/15</f>
        <v>0</v>
      </c>
      <c r="Q28" s="154">
        <f>+'NEW Summer CHP by DISC'!Q28/15</f>
        <v>0</v>
      </c>
      <c r="R28" s="154">
        <f>+'NEW Summer CHP by DISC'!R28/12</f>
        <v>0</v>
      </c>
      <c r="S28" s="154">
        <f>SUM(P28:R28)</f>
        <v>0</v>
      </c>
      <c r="T28" s="582">
        <f t="shared" ref="T28:T33" si="19">IF(N28&gt;0,(S28-N28)/N28,(IF(S28=0,"N/A",100%)))</f>
        <v>-1</v>
      </c>
      <c r="U28" s="154">
        <f>+'NEW Summer CHP by DISC'!U28/15</f>
        <v>1</v>
      </c>
      <c r="V28" s="154">
        <f>+'NEW Summer CHP by DISC'!V28/15</f>
        <v>0</v>
      </c>
      <c r="W28" s="154">
        <f>+'NEW Summer CHP by DISC'!W28/12</f>
        <v>0</v>
      </c>
      <c r="X28" s="154">
        <f>SUM(U28:W28)</f>
        <v>1</v>
      </c>
      <c r="Y28" s="602">
        <f t="shared" ref="Y28:Y33" si="20">IF(S28&gt;0,(X28-S28)/S28,(IF(X28=0,"N/A",100%)))</f>
        <v>1</v>
      </c>
      <c r="Z28" s="154">
        <f>+'NEW Summer CHP by DISC'!Z28/15</f>
        <v>0</v>
      </c>
      <c r="AA28" s="154">
        <f>+'NEW Summer CHP by DISC'!AA28/15</f>
        <v>1</v>
      </c>
      <c r="AB28" s="154">
        <f>+'NEW Summer CHP by DISC'!AB28/12</f>
        <v>0</v>
      </c>
      <c r="AC28" s="154">
        <f>SUM(Z28:AB28)</f>
        <v>1</v>
      </c>
      <c r="AD28" s="600">
        <f t="shared" ref="AD28:AD33" si="21">IF(X28&gt;0,(AC28-X28)/X28,(IF(AC28=0,"N/A",100%)))</f>
        <v>0</v>
      </c>
      <c r="AE28" s="328"/>
      <c r="AF28" s="328"/>
      <c r="AG28" s="328"/>
      <c r="AH28" s="328"/>
      <c r="AI28" s="328"/>
      <c r="AJ28" s="328"/>
      <c r="AK28" s="328"/>
      <c r="AL28" s="328"/>
      <c r="AM28" s="328"/>
      <c r="AN28" s="328"/>
      <c r="AO28" s="328"/>
      <c r="AP28" s="328"/>
      <c r="AQ28" s="328"/>
    </row>
    <row r="29" spans="1:43" x14ac:dyDescent="0.25">
      <c r="A29" s="566" t="s">
        <v>972</v>
      </c>
      <c r="B29" s="154">
        <f>+'NEW Summer CHP by DISC'!B29/15</f>
        <v>4.4000000000000004</v>
      </c>
      <c r="C29" s="154">
        <f>+'NEW Summer CHP by DISC'!C29/15</f>
        <v>12.2</v>
      </c>
      <c r="D29" s="154">
        <f>+'NEW Summer CHP by DISC'!D29/12</f>
        <v>22.25</v>
      </c>
      <c r="E29" s="331">
        <f>SUM(B29:D29)</f>
        <v>38.85</v>
      </c>
      <c r="F29" s="154">
        <f>+'NEW Summer CHP by DISC'!F29/15</f>
        <v>3.4</v>
      </c>
      <c r="G29" s="154">
        <f>+'NEW Summer CHP by DISC'!G29/15</f>
        <v>8.6</v>
      </c>
      <c r="H29" s="154">
        <f>+'NEW Summer CHP by DISC'!H29/12</f>
        <v>22.75</v>
      </c>
      <c r="I29" s="154">
        <f>SUM(F29:H29)</f>
        <v>34.75</v>
      </c>
      <c r="J29" s="602">
        <f t="shared" si="17"/>
        <v>-0.10553410553410557</v>
      </c>
      <c r="K29" s="154">
        <f>+'NEW Summer CHP by DISC'!K29/15</f>
        <v>5.2</v>
      </c>
      <c r="L29" s="154">
        <f>+'NEW Summer CHP by DISC'!L29/15</f>
        <v>8.8000000000000007</v>
      </c>
      <c r="M29" s="154">
        <f>+'NEW Summer CHP by DISC'!M29/12</f>
        <v>34.75</v>
      </c>
      <c r="N29" s="1209">
        <f>SUM(K29:M29)</f>
        <v>48.75</v>
      </c>
      <c r="O29" s="155">
        <f t="shared" si="18"/>
        <v>0.40287769784172661</v>
      </c>
      <c r="P29" s="154">
        <f>+'NEW Summer CHP by DISC'!P29/15</f>
        <v>6.6</v>
      </c>
      <c r="Q29" s="154">
        <f>+'NEW Summer CHP by DISC'!Q29/15</f>
        <v>9.8000000000000007</v>
      </c>
      <c r="R29" s="154">
        <f>+'NEW Summer CHP by DISC'!R29/12</f>
        <v>24.75</v>
      </c>
      <c r="S29" s="154">
        <f>SUM(P29:R29)</f>
        <v>41.15</v>
      </c>
      <c r="T29" s="602">
        <f t="shared" si="19"/>
        <v>-0.15589743589743593</v>
      </c>
      <c r="U29" s="154">
        <f>+'NEW Summer CHP by DISC'!U29/15</f>
        <v>6.6</v>
      </c>
      <c r="V29" s="154">
        <f>+'NEW Summer CHP by DISC'!V29/15</f>
        <v>15</v>
      </c>
      <c r="W29" s="154">
        <f>+'NEW Summer CHP by DISC'!W29/12</f>
        <v>33.25</v>
      </c>
      <c r="X29" s="154">
        <f>SUM(U29:W29)</f>
        <v>54.85</v>
      </c>
      <c r="Y29" s="602">
        <f t="shared" si="20"/>
        <v>0.33292831105710824</v>
      </c>
      <c r="Z29" s="154">
        <f>+'NEW Summer CHP by DISC'!Z29/15</f>
        <v>0</v>
      </c>
      <c r="AA29" s="154">
        <f>+'NEW Summer CHP by DISC'!AA29/15</f>
        <v>14.866666666666667</v>
      </c>
      <c r="AB29" s="154">
        <f>+'NEW Summer CHP by DISC'!AB29/12</f>
        <v>30.75</v>
      </c>
      <c r="AC29" s="154">
        <f>SUM(Z29:AB29)</f>
        <v>45.616666666666667</v>
      </c>
      <c r="AD29" s="600">
        <f t="shared" si="21"/>
        <v>-0.16833789121847464</v>
      </c>
      <c r="AE29" s="328"/>
      <c r="AF29" s="328"/>
      <c r="AG29" s="328"/>
      <c r="AH29" s="328"/>
      <c r="AI29" s="328"/>
      <c r="AJ29" s="328"/>
      <c r="AK29" s="328"/>
      <c r="AL29" s="328"/>
      <c r="AM29" s="328"/>
      <c r="AN29" s="328"/>
      <c r="AO29" s="328"/>
      <c r="AP29" s="328"/>
      <c r="AQ29" s="328"/>
    </row>
    <row r="30" spans="1:43" x14ac:dyDescent="0.25">
      <c r="A30" s="566" t="s">
        <v>973</v>
      </c>
      <c r="B30" s="154">
        <f>+'NEW Summer CHP by DISC'!B30/15</f>
        <v>0</v>
      </c>
      <c r="C30" s="154">
        <f>+'NEW Summer CHP by DISC'!C30/15</f>
        <v>0</v>
      </c>
      <c r="D30" s="154">
        <f>+'NEW Summer CHP by DISC'!D30/12</f>
        <v>0</v>
      </c>
      <c r="E30" s="331">
        <f>SUM(B30:D30)</f>
        <v>0</v>
      </c>
      <c r="F30" s="154">
        <f>+'NEW Summer CHP by DISC'!F30/15</f>
        <v>0</v>
      </c>
      <c r="G30" s="154">
        <f>+'NEW Summer CHP by DISC'!G30/15</f>
        <v>0</v>
      </c>
      <c r="H30" s="154">
        <f>+'NEW Summer CHP by DISC'!H30/12</f>
        <v>0</v>
      </c>
      <c r="I30" s="154">
        <f>SUM(F30:H30)</f>
        <v>0</v>
      </c>
      <c r="J30" s="602" t="str">
        <f t="shared" si="17"/>
        <v>N/A</v>
      </c>
      <c r="K30" s="154">
        <f>+'NEW Summer CHP by DISC'!K30/15</f>
        <v>0</v>
      </c>
      <c r="L30" s="154">
        <f>+'NEW Summer CHP by DISC'!L30/15</f>
        <v>0</v>
      </c>
      <c r="M30" s="154">
        <f>+'NEW Summer CHP by DISC'!M30/12</f>
        <v>2.75</v>
      </c>
      <c r="N30" s="1209">
        <f>SUM(K30:M30)</f>
        <v>2.75</v>
      </c>
      <c r="O30" s="155">
        <f t="shared" si="18"/>
        <v>1</v>
      </c>
      <c r="P30" s="154">
        <f>+'NEW Summer CHP by DISC'!P30/15</f>
        <v>0</v>
      </c>
      <c r="Q30" s="154">
        <f>+'NEW Summer CHP by DISC'!Q30/15</f>
        <v>0</v>
      </c>
      <c r="R30" s="154">
        <f>+'NEW Summer CHP by DISC'!R30/12</f>
        <v>0</v>
      </c>
      <c r="S30" s="154">
        <f>SUM(P30:R30)</f>
        <v>0</v>
      </c>
      <c r="T30" s="602">
        <f t="shared" si="19"/>
        <v>-1</v>
      </c>
      <c r="U30" s="154">
        <f>+'NEW Summer CHP by DISC'!U30/15</f>
        <v>0</v>
      </c>
      <c r="V30" s="154">
        <f>+'NEW Summer CHP by DISC'!V30/15</f>
        <v>0</v>
      </c>
      <c r="W30" s="154">
        <f>+'NEW Summer CHP by DISC'!W30/12</f>
        <v>0</v>
      </c>
      <c r="X30" s="154">
        <f>SUM(U30:W30)</f>
        <v>0</v>
      </c>
      <c r="Y30" s="602" t="str">
        <f t="shared" si="20"/>
        <v>N/A</v>
      </c>
      <c r="Z30" s="154">
        <f>+'NEW Summer CHP by DISC'!Z30/15</f>
        <v>0</v>
      </c>
      <c r="AA30" s="154">
        <f>+'NEW Summer CHP by DISC'!AA30/15</f>
        <v>0</v>
      </c>
      <c r="AB30" s="154">
        <f>+'NEW Summer CHP by DISC'!AB30/12</f>
        <v>0</v>
      </c>
      <c r="AC30" s="154">
        <f>SUM(Z30:AB30)</f>
        <v>0</v>
      </c>
      <c r="AD30" s="600" t="str">
        <f t="shared" si="21"/>
        <v>N/A</v>
      </c>
      <c r="AE30" s="328"/>
      <c r="AF30" s="328"/>
      <c r="AG30" s="328"/>
      <c r="AH30" s="328"/>
      <c r="AI30" s="328"/>
      <c r="AJ30" s="328"/>
      <c r="AK30" s="328"/>
      <c r="AL30" s="328"/>
      <c r="AM30" s="328"/>
      <c r="AN30" s="328"/>
      <c r="AO30" s="328"/>
      <c r="AP30" s="328"/>
      <c r="AQ30" s="328"/>
    </row>
    <row r="31" spans="1:43" x14ac:dyDescent="0.25">
      <c r="A31" s="967" t="s">
        <v>1097</v>
      </c>
      <c r="B31" s="154">
        <f>+'NEW Summer CHP by DISC'!B31/15</f>
        <v>0</v>
      </c>
      <c r="C31" s="154">
        <f>+'NEW Summer CHP by DISC'!C31/15</f>
        <v>1</v>
      </c>
      <c r="D31" s="154">
        <f>+'NEW Summer CHP by DISC'!D31/12</f>
        <v>35</v>
      </c>
      <c r="E31" s="331">
        <f>SUM(B31:D31)</f>
        <v>36</v>
      </c>
      <c r="F31" s="154">
        <f>+'NEW Summer CHP by DISC'!F31/15</f>
        <v>0</v>
      </c>
      <c r="G31" s="154">
        <f>+'NEW Summer CHP by DISC'!G31/15</f>
        <v>3.6</v>
      </c>
      <c r="H31" s="154">
        <f>+'NEW Summer CHP by DISC'!H31/12</f>
        <v>26.75</v>
      </c>
      <c r="I31" s="154">
        <f>SUM(F31:H31)</f>
        <v>30.35</v>
      </c>
      <c r="J31" s="602">
        <f t="shared" si="17"/>
        <v>-0.15694444444444441</v>
      </c>
      <c r="K31" s="154">
        <f>+'NEW Summer CHP by DISC'!K31/15</f>
        <v>0</v>
      </c>
      <c r="L31" s="154">
        <f>+'NEW Summer CHP by DISC'!L31/15</f>
        <v>0.8</v>
      </c>
      <c r="M31" s="154">
        <f>+'NEW Summer CHP by DISC'!M31/12</f>
        <v>41.25</v>
      </c>
      <c r="N31" s="1209">
        <f>SUM(K31:M31)</f>
        <v>42.05</v>
      </c>
      <c r="O31" s="155">
        <f t="shared" si="18"/>
        <v>0.38550247116968683</v>
      </c>
      <c r="P31" s="154">
        <f>+'NEW Summer CHP by DISC'!P31/15</f>
        <v>0</v>
      </c>
      <c r="Q31" s="154">
        <f>+'NEW Summer CHP by DISC'!Q31/15</f>
        <v>0</v>
      </c>
      <c r="R31" s="154">
        <f>+'NEW Summer CHP by DISC'!R31/12</f>
        <v>36.25</v>
      </c>
      <c r="S31" s="154">
        <f>SUM(P31:R31)</f>
        <v>36.25</v>
      </c>
      <c r="T31" s="602">
        <f t="shared" si="19"/>
        <v>-0.13793103448275856</v>
      </c>
      <c r="U31" s="154">
        <f>+'NEW Summer CHP by DISC'!U31/15</f>
        <v>0</v>
      </c>
      <c r="V31" s="154">
        <f>+'NEW Summer CHP by DISC'!V31/15</f>
        <v>2.4</v>
      </c>
      <c r="W31" s="154">
        <f>+'NEW Summer CHP by DISC'!W31/12</f>
        <v>35.25</v>
      </c>
      <c r="X31" s="154">
        <f>SUM(U31:W31)</f>
        <v>37.65</v>
      </c>
      <c r="Y31" s="602">
        <f t="shared" si="20"/>
        <v>3.8620689655172374E-2</v>
      </c>
      <c r="Z31" s="154">
        <f>+'NEW Summer CHP by DISC'!Z31/15</f>
        <v>0</v>
      </c>
      <c r="AA31" s="154">
        <f>+'NEW Summer CHP by DISC'!AA31/15</f>
        <v>2</v>
      </c>
      <c r="AB31" s="154">
        <f>+'NEW Summer CHP by DISC'!AB31/12</f>
        <v>26.25</v>
      </c>
      <c r="AC31" s="154">
        <f>SUM(Z31:AB31)</f>
        <v>28.25</v>
      </c>
      <c r="AD31" s="600">
        <f t="shared" si="21"/>
        <v>-0.24966799468791498</v>
      </c>
      <c r="AE31" s="328"/>
      <c r="AF31" s="328"/>
      <c r="AG31" s="328"/>
      <c r="AH31" s="328"/>
      <c r="AI31" s="328"/>
      <c r="AJ31" s="328"/>
      <c r="AK31" s="328"/>
      <c r="AL31" s="328"/>
      <c r="AM31" s="328"/>
      <c r="AN31" s="328"/>
      <c r="AO31" s="328"/>
      <c r="AP31" s="328"/>
      <c r="AQ31" s="328"/>
    </row>
    <row r="32" spans="1:43" x14ac:dyDescent="0.25">
      <c r="A32" s="566" t="s">
        <v>974</v>
      </c>
      <c r="B32" s="154">
        <f>+'NEW Summer CHP by DISC'!B32/15</f>
        <v>2.4</v>
      </c>
      <c r="C32" s="154">
        <f>+'NEW Summer CHP by DISC'!C32/15</f>
        <v>3.2</v>
      </c>
      <c r="D32" s="154">
        <f>+'NEW Summer CHP by DISC'!D32/12</f>
        <v>0</v>
      </c>
      <c r="E32" s="331">
        <f>SUM(B32:D32)</f>
        <v>5.6</v>
      </c>
      <c r="F32" s="154">
        <f>+'NEW Summer CHP by DISC'!F32/15</f>
        <v>2.6</v>
      </c>
      <c r="G32" s="154">
        <f>+'NEW Summer CHP by DISC'!G32/15</f>
        <v>0</v>
      </c>
      <c r="H32" s="154">
        <f>+'NEW Summer CHP by DISC'!H32/12</f>
        <v>0</v>
      </c>
      <c r="I32" s="154">
        <f>SUM(F32:H32)</f>
        <v>2.6</v>
      </c>
      <c r="J32" s="602">
        <f t="shared" si="17"/>
        <v>-0.5357142857142857</v>
      </c>
      <c r="K32" s="154">
        <f>+'NEW Summer CHP by DISC'!K32/15</f>
        <v>2.8</v>
      </c>
      <c r="L32" s="154">
        <f>+'NEW Summer CHP by DISC'!L32/15</f>
        <v>2.2000000000000002</v>
      </c>
      <c r="M32" s="154">
        <f>+'NEW Summer CHP by DISC'!M32/12</f>
        <v>0</v>
      </c>
      <c r="N32" s="1209">
        <f>SUM(K32:M32)</f>
        <v>5</v>
      </c>
      <c r="O32" s="155">
        <f t="shared" si="18"/>
        <v>0.92307692307692302</v>
      </c>
      <c r="P32" s="154">
        <f>+'NEW Summer CHP by DISC'!P32/15</f>
        <v>3.4</v>
      </c>
      <c r="Q32" s="154">
        <f>+'NEW Summer CHP by DISC'!Q32/15</f>
        <v>0.2</v>
      </c>
      <c r="R32" s="154">
        <f>+'NEW Summer CHP by DISC'!R32/12</f>
        <v>0</v>
      </c>
      <c r="S32" s="154">
        <f>SUM(P32:R32)</f>
        <v>3.6</v>
      </c>
      <c r="T32" s="602">
        <f t="shared" si="19"/>
        <v>-0.27999999999999997</v>
      </c>
      <c r="U32" s="154">
        <f>+'NEW Summer CHP by DISC'!U32/15</f>
        <v>1.2</v>
      </c>
      <c r="V32" s="154">
        <f>+'NEW Summer CHP by DISC'!V32/15</f>
        <v>1.8</v>
      </c>
      <c r="W32" s="154">
        <f>+'NEW Summer CHP by DISC'!W32/12</f>
        <v>0</v>
      </c>
      <c r="X32" s="154">
        <f>SUM(U32:W32)</f>
        <v>3</v>
      </c>
      <c r="Y32" s="602">
        <f t="shared" si="20"/>
        <v>-0.16666666666666669</v>
      </c>
      <c r="Z32" s="154">
        <f>+'NEW Summer CHP by DISC'!Z32/15</f>
        <v>0</v>
      </c>
      <c r="AA32" s="154">
        <f>+'NEW Summer CHP by DISC'!AA32/15</f>
        <v>2.6</v>
      </c>
      <c r="AB32" s="154">
        <f>+'NEW Summer CHP by DISC'!AB32/12</f>
        <v>0</v>
      </c>
      <c r="AC32" s="154">
        <f>SUM(Z32:AB32)</f>
        <v>2.6</v>
      </c>
      <c r="AD32" s="600">
        <f t="shared" si="21"/>
        <v>-0.1333333333333333</v>
      </c>
      <c r="AE32" s="328"/>
      <c r="AF32" s="328"/>
      <c r="AG32" s="328"/>
      <c r="AH32" s="328"/>
      <c r="AI32" s="328"/>
      <c r="AJ32" s="328"/>
      <c r="AK32" s="328"/>
      <c r="AL32" s="328"/>
      <c r="AM32" s="328"/>
      <c r="AN32" s="328"/>
      <c r="AO32" s="328"/>
      <c r="AP32" s="328"/>
      <c r="AQ32" s="328"/>
    </row>
    <row r="33" spans="1:256" s="575" customFormat="1" ht="13.8" x14ac:dyDescent="0.25">
      <c r="A33" s="641" t="s">
        <v>961</v>
      </c>
      <c r="B33" s="585">
        <f t="shared" ref="B33:I33" si="22">SUM(B28:B32)</f>
        <v>7.2000000000000011</v>
      </c>
      <c r="C33" s="586">
        <f t="shared" si="22"/>
        <v>18.266666666666666</v>
      </c>
      <c r="D33" s="586">
        <f t="shared" si="22"/>
        <v>57.25</v>
      </c>
      <c r="E33" s="587">
        <f t="shared" si="22"/>
        <v>82.716666666666669</v>
      </c>
      <c r="F33" s="585">
        <f t="shared" si="22"/>
        <v>6.6</v>
      </c>
      <c r="G33" s="586">
        <f t="shared" si="22"/>
        <v>12.399999999999999</v>
      </c>
      <c r="H33" s="586">
        <f t="shared" si="22"/>
        <v>49.5</v>
      </c>
      <c r="I33" s="586">
        <f t="shared" si="22"/>
        <v>68.5</v>
      </c>
      <c r="J33" s="588">
        <f t="shared" si="17"/>
        <v>-0.17187185170259925</v>
      </c>
      <c r="K33" s="586">
        <f t="shared" ref="K33:S33" si="23">SUM(K28:K32)</f>
        <v>9</v>
      </c>
      <c r="L33" s="586">
        <f t="shared" si="23"/>
        <v>11.8</v>
      </c>
      <c r="M33" s="586">
        <f t="shared" si="23"/>
        <v>78.75</v>
      </c>
      <c r="N33" s="586">
        <f t="shared" si="23"/>
        <v>99.55</v>
      </c>
      <c r="O33" s="613">
        <f t="shared" si="18"/>
        <v>0.45328467153284668</v>
      </c>
      <c r="P33" s="585">
        <f t="shared" si="23"/>
        <v>10</v>
      </c>
      <c r="Q33" s="586">
        <f t="shared" si="23"/>
        <v>10</v>
      </c>
      <c r="R33" s="586">
        <f t="shared" si="23"/>
        <v>61</v>
      </c>
      <c r="S33" s="586">
        <f t="shared" si="23"/>
        <v>81</v>
      </c>
      <c r="T33" s="588">
        <f t="shared" si="19"/>
        <v>-0.18633852335509793</v>
      </c>
      <c r="U33" s="585">
        <f>SUM(U28:U32)</f>
        <v>8.7999999999999989</v>
      </c>
      <c r="V33" s="586">
        <f>SUM(V28:V32)</f>
        <v>19.2</v>
      </c>
      <c r="W33" s="586">
        <f>SUM(W28:W32)</f>
        <v>68.5</v>
      </c>
      <c r="X33" s="586">
        <f>SUM(X28:X32)</f>
        <v>96.5</v>
      </c>
      <c r="Y33" s="588">
        <f t="shared" si="20"/>
        <v>0.19135802469135801</v>
      </c>
      <c r="Z33" s="585">
        <f>SUM(Z28:Z32)</f>
        <v>0</v>
      </c>
      <c r="AA33" s="586">
        <f>SUM(AA28:AA32)</f>
        <v>20.466666666666669</v>
      </c>
      <c r="AB33" s="586">
        <f>SUM(AB28:AB32)</f>
        <v>57</v>
      </c>
      <c r="AC33" s="586">
        <f>SUM(AC28:AC32)</f>
        <v>77.466666666666669</v>
      </c>
      <c r="AD33" s="589">
        <f t="shared" si="21"/>
        <v>-0.19723661485319516</v>
      </c>
    </row>
    <row r="34" spans="1:256" x14ac:dyDescent="0.25">
      <c r="A34" s="576" t="s">
        <v>427</v>
      </c>
      <c r="B34" s="605"/>
      <c r="C34" s="578"/>
      <c r="D34" s="578"/>
      <c r="E34" s="518"/>
      <c r="F34" s="605"/>
      <c r="G34" s="578"/>
      <c r="H34" s="578"/>
      <c r="I34" s="578"/>
      <c r="J34" s="518"/>
      <c r="K34" s="577"/>
      <c r="L34" s="578"/>
      <c r="M34" s="578"/>
      <c r="N34" s="578"/>
      <c r="O34" s="607"/>
      <c r="P34" s="605"/>
      <c r="Q34" s="578"/>
      <c r="R34" s="578"/>
      <c r="S34" s="578"/>
      <c r="T34" s="518"/>
      <c r="U34" s="605"/>
      <c r="V34" s="578"/>
      <c r="W34" s="578"/>
      <c r="X34" s="578"/>
      <c r="Y34" s="518"/>
      <c r="Z34" s="605"/>
      <c r="AA34" s="578"/>
      <c r="AB34" s="578"/>
      <c r="AC34" s="578"/>
      <c r="AD34" s="599"/>
      <c r="AE34" s="328"/>
      <c r="AF34" s="328"/>
      <c r="AG34" s="328"/>
      <c r="AH34" s="328"/>
      <c r="AI34" s="328"/>
      <c r="AJ34" s="328"/>
      <c r="AK34" s="328"/>
      <c r="AL34" s="328"/>
      <c r="AM34" s="328"/>
      <c r="AN34" s="328"/>
      <c r="AO34" s="328"/>
      <c r="AP34" s="328"/>
      <c r="AQ34" s="328"/>
    </row>
    <row r="35" spans="1:256" x14ac:dyDescent="0.25">
      <c r="A35" s="603" t="s">
        <v>1005</v>
      </c>
      <c r="B35" s="154">
        <f>+'NEW Summer CHP by DISC'!B35/15</f>
        <v>6.7333333333333334</v>
      </c>
      <c r="C35" s="154">
        <f>+'NEW Summer CHP by DISC'!C35/15</f>
        <v>7.7333333333333334</v>
      </c>
      <c r="D35" s="154">
        <f>+'NEW Summer CHP by DISC'!D35/12</f>
        <v>0</v>
      </c>
      <c r="E35" s="375">
        <f>SUM(B35:D35)</f>
        <v>14.466666666666667</v>
      </c>
      <c r="F35" s="154">
        <f>+'NEW Summer CHP by DISC'!F35/15</f>
        <v>7.0666666666666664</v>
      </c>
      <c r="G35" s="154">
        <f>+'NEW Summer CHP by DISC'!G35/15</f>
        <v>6.8666666666666663</v>
      </c>
      <c r="H35" s="154">
        <f>+'NEW Summer CHP by DISC'!H35/12</f>
        <v>0</v>
      </c>
      <c r="I35" s="581">
        <f>SUM(F35:H35)</f>
        <v>13.933333333333334</v>
      </c>
      <c r="J35" s="582">
        <f>IF(E35&gt;0,(I35-E35)/E35,(IF(I35=0,"N/A",100%)))</f>
        <v>-3.6866359447004601E-2</v>
      </c>
      <c r="K35" s="154">
        <f>+'NEW Summer CHP by DISC'!K35/15</f>
        <v>1.8</v>
      </c>
      <c r="L35" s="154">
        <f>+'NEW Summer CHP by DISC'!L35/15</f>
        <v>15.133333333333333</v>
      </c>
      <c r="M35" s="154">
        <f>+'NEW Summer CHP by DISC'!M35/12</f>
        <v>0</v>
      </c>
      <c r="N35" s="581">
        <f>SUM(K35:M35)</f>
        <v>16.933333333333334</v>
      </c>
      <c r="O35" s="155">
        <f>IF(I35&gt;0,(N35-I35)/I35,(IF(N35=0,"N/A",100%)))</f>
        <v>0.21531100478468898</v>
      </c>
      <c r="P35" s="154">
        <f>+'NEW Summer CHP by DISC'!P35/15</f>
        <v>2.9333333333333331</v>
      </c>
      <c r="Q35" s="154">
        <f>+'NEW Summer CHP by DISC'!Q35/15</f>
        <v>10.533333333333333</v>
      </c>
      <c r="R35" s="154">
        <f>+'NEW Summer CHP by DISC'!R35/12</f>
        <v>0</v>
      </c>
      <c r="S35" s="581">
        <f>SUM(P35:R35)</f>
        <v>13.466666666666667</v>
      </c>
      <c r="T35" s="582">
        <f>IF(N35&gt;0,(S35-N35)/N35,(IF(S35=0,"N/A",100%)))</f>
        <v>-0.20472440944881889</v>
      </c>
      <c r="U35" s="154">
        <f>+'NEW Summer CHP by DISC'!U35/15</f>
        <v>5.4666666666666668</v>
      </c>
      <c r="V35" s="154">
        <f>+'NEW Summer CHP by DISC'!V35/15</f>
        <v>10.066666666666666</v>
      </c>
      <c r="W35" s="154">
        <f>+'NEW Summer CHP by DISC'!W35/12</f>
        <v>0.5</v>
      </c>
      <c r="X35" s="581">
        <f>SUM(U35:W35)</f>
        <v>16.033333333333331</v>
      </c>
      <c r="Y35" s="582">
        <f>IF(S35&gt;0,(X35-S35)/S35,(IF(X35=0,"N/A",100%)))</f>
        <v>0.19059405940594043</v>
      </c>
      <c r="Z35" s="154">
        <f>+'NEW Summer CHP by DISC'!Z35/15</f>
        <v>0.66666666666666663</v>
      </c>
      <c r="AA35" s="154">
        <f>+'NEW Summer CHP by DISC'!AA35/15</f>
        <v>15.933333333333334</v>
      </c>
      <c r="AB35" s="154">
        <f>+'NEW Summer CHP by DISC'!AB35/12</f>
        <v>0.5</v>
      </c>
      <c r="AC35" s="581">
        <f>SUM(Z35:AB35)</f>
        <v>17.100000000000001</v>
      </c>
      <c r="AD35" s="583">
        <f>IF(X35&gt;0,(AC35-X35)/X35,(IF(AC35=0,"N/A",100%)))</f>
        <v>6.652806652806674E-2</v>
      </c>
      <c r="AE35" s="328"/>
      <c r="AF35" s="328"/>
      <c r="AG35" s="328"/>
      <c r="AH35" s="328"/>
      <c r="AI35" s="328"/>
      <c r="AJ35" s="328"/>
      <c r="AK35" s="328"/>
      <c r="AL35" s="328"/>
      <c r="AM35" s="328"/>
      <c r="AN35" s="328"/>
      <c r="AO35" s="328"/>
      <c r="AP35" s="328"/>
      <c r="AQ35" s="328"/>
    </row>
    <row r="36" spans="1:256" x14ac:dyDescent="0.25">
      <c r="A36" s="576" t="s">
        <v>417</v>
      </c>
      <c r="B36" s="605"/>
      <c r="C36" s="578"/>
      <c r="D36" s="578"/>
      <c r="E36" s="518"/>
      <c r="F36" s="606"/>
      <c r="G36" s="578"/>
      <c r="H36" s="578"/>
      <c r="I36" s="578"/>
      <c r="J36" s="518"/>
      <c r="K36" s="577"/>
      <c r="L36" s="578"/>
      <c r="M36" s="578"/>
      <c r="N36" s="578"/>
      <c r="O36" s="607"/>
      <c r="P36" s="605"/>
      <c r="Q36" s="578"/>
      <c r="R36" s="578"/>
      <c r="S36" s="578"/>
      <c r="T36" s="518"/>
      <c r="U36" s="577"/>
      <c r="V36" s="578"/>
      <c r="W36" s="578"/>
      <c r="X36" s="578"/>
      <c r="Y36" s="518"/>
      <c r="Z36" s="605"/>
      <c r="AA36" s="578"/>
      <c r="AB36" s="578"/>
      <c r="AC36" s="578"/>
      <c r="AD36" s="599"/>
      <c r="AE36" s="328"/>
      <c r="AF36" s="328"/>
      <c r="AG36" s="328"/>
      <c r="AH36" s="328"/>
      <c r="AI36" s="328"/>
      <c r="AJ36" s="328"/>
      <c r="AK36" s="328"/>
      <c r="AL36" s="328"/>
      <c r="AM36" s="328"/>
      <c r="AN36" s="328"/>
      <c r="AO36" s="328"/>
      <c r="AP36" s="328"/>
      <c r="AQ36" s="328"/>
    </row>
    <row r="37" spans="1:256" x14ac:dyDescent="0.25">
      <c r="A37" s="566" t="s">
        <v>959</v>
      </c>
      <c r="B37" s="154">
        <f>+'NEW Summer CHP by DISC'!B37/15</f>
        <v>0</v>
      </c>
      <c r="C37" s="154">
        <f>+'NEW Summer CHP by DISC'!C37/15</f>
        <v>5</v>
      </c>
      <c r="D37" s="154">
        <f>+'NEW Summer CHP by DISC'!D37/12</f>
        <v>0</v>
      </c>
      <c r="E37" s="375">
        <f>SUM(B37:D37)</f>
        <v>5</v>
      </c>
      <c r="F37" s="154">
        <f>+'NEW Summer CHP by DISC'!F37/15</f>
        <v>0</v>
      </c>
      <c r="G37" s="154">
        <f>+'NEW Summer CHP by DISC'!G37/15</f>
        <v>6.9333333333333336</v>
      </c>
      <c r="H37" s="154">
        <f>+'NEW Summer CHP by DISC'!H37/12</f>
        <v>0</v>
      </c>
      <c r="I37" s="581">
        <f>SUM(F37:H37)</f>
        <v>6.9333333333333336</v>
      </c>
      <c r="J37" s="582">
        <f>IF(E37&gt;0,(I37-E37)/E37,(IF(I37=0,"N/A",100%)))</f>
        <v>0.38666666666666671</v>
      </c>
      <c r="K37" s="154">
        <f>+'NEW Summer CHP by DISC'!K37/15</f>
        <v>1.6</v>
      </c>
      <c r="L37" s="154">
        <f>+'NEW Summer CHP by DISC'!L37/15</f>
        <v>7.6</v>
      </c>
      <c r="M37" s="154">
        <f>+'NEW Summer CHP by DISC'!M37/12</f>
        <v>0</v>
      </c>
      <c r="N37" s="581">
        <f>SUM(K37:M37)</f>
        <v>9.1999999999999993</v>
      </c>
      <c r="O37" s="155">
        <f>IF(I37&gt;0,(N37-I37)/I37,(IF(N37=0,"N/A",100%)))</f>
        <v>0.32692307692307676</v>
      </c>
      <c r="P37" s="154">
        <f>+'NEW Summer CHP by DISC'!P37/15</f>
        <v>1</v>
      </c>
      <c r="Q37" s="154">
        <f>+'NEW Summer CHP by DISC'!Q37/15</f>
        <v>7.1333333333333337</v>
      </c>
      <c r="R37" s="154">
        <f>+'NEW Summer CHP by DISC'!R37/12</f>
        <v>0</v>
      </c>
      <c r="S37" s="581">
        <f>SUM(P37:R37)</f>
        <v>8.1333333333333329</v>
      </c>
      <c r="T37" s="582">
        <f>IF(N37&gt;0,(S37-N37)/N37,(IF(S37=0,"N/A",100%)))</f>
        <v>-0.11594202898550723</v>
      </c>
      <c r="U37" s="154">
        <f>+'NEW Summer CHP by DISC'!U37/15</f>
        <v>1.6</v>
      </c>
      <c r="V37" s="154">
        <f>+'NEW Summer CHP by DISC'!V37/15</f>
        <v>10.4</v>
      </c>
      <c r="W37" s="154">
        <f>+'NEW Summer CHP by DISC'!W37/12</f>
        <v>0</v>
      </c>
      <c r="X37" s="581">
        <f>SUM(U37:W37)</f>
        <v>12</v>
      </c>
      <c r="Y37" s="582">
        <f>IF(S37&gt;0,(X37-S37)/S37,(IF(X37=0,"N/A",100%)))</f>
        <v>0.47540983606557385</v>
      </c>
      <c r="Z37" s="154">
        <f>+'NEW Summer CHP by DISC'!Z37/15</f>
        <v>0.8</v>
      </c>
      <c r="AA37" s="154">
        <f>+'NEW Summer CHP by DISC'!AA37/15</f>
        <v>10.933333333333334</v>
      </c>
      <c r="AB37" s="154">
        <f>+'NEW Summer CHP by DISC'!AB37/12</f>
        <v>0</v>
      </c>
      <c r="AC37" s="581">
        <f>SUM(Z37:AB37)</f>
        <v>11.733333333333334</v>
      </c>
      <c r="AD37" s="583">
        <f>IF(X37&gt;0,(AC37-X37)/X37,(IF(AC37=0,"N/A",100%)))</f>
        <v>-2.2222222222222143E-2</v>
      </c>
      <c r="AE37" s="328"/>
      <c r="AF37" s="328"/>
      <c r="AG37" s="328"/>
      <c r="AH37" s="328"/>
      <c r="AI37" s="328"/>
      <c r="AJ37" s="328"/>
      <c r="AK37" s="328"/>
      <c r="AL37" s="328"/>
      <c r="AM37" s="328"/>
      <c r="AN37" s="328"/>
      <c r="AO37" s="328"/>
      <c r="AP37" s="328"/>
      <c r="AQ37" s="328"/>
    </row>
    <row r="38" spans="1:256" s="596" customFormat="1" ht="16.2" thickBot="1" x14ac:dyDescent="0.35">
      <c r="A38" s="590" t="s">
        <v>418</v>
      </c>
      <c r="B38" s="591">
        <f t="shared" ref="B38:I38" si="24">B37+B35+B33</f>
        <v>13.933333333333334</v>
      </c>
      <c r="C38" s="591">
        <f t="shared" si="24"/>
        <v>31</v>
      </c>
      <c r="D38" s="591">
        <f t="shared" si="24"/>
        <v>57.25</v>
      </c>
      <c r="E38" s="593">
        <f t="shared" si="24"/>
        <v>102.18333333333334</v>
      </c>
      <c r="F38" s="591">
        <f t="shared" si="24"/>
        <v>13.666666666666666</v>
      </c>
      <c r="G38" s="591">
        <f t="shared" si="24"/>
        <v>26.2</v>
      </c>
      <c r="H38" s="591">
        <f t="shared" si="24"/>
        <v>49.5</v>
      </c>
      <c r="I38" s="591">
        <f t="shared" si="24"/>
        <v>89.366666666666674</v>
      </c>
      <c r="J38" s="594">
        <f>IF(E38&gt;0,(I38-E38)/E38,(IF(I38=0,"N/A",100%)))</f>
        <v>-0.12542815201435326</v>
      </c>
      <c r="K38" s="591">
        <f t="shared" ref="K38:S38" si="25">K37+K35+K33</f>
        <v>12.4</v>
      </c>
      <c r="L38" s="591">
        <f t="shared" si="25"/>
        <v>34.533333333333331</v>
      </c>
      <c r="M38" s="591">
        <f t="shared" si="25"/>
        <v>78.75</v>
      </c>
      <c r="N38" s="592">
        <f t="shared" si="25"/>
        <v>125.68333333333334</v>
      </c>
      <c r="O38" s="594">
        <f>IF(I38&gt;0,(N38-I38)/I38,(IF(N38=0,"N/A",100%)))</f>
        <v>0.40637821708317784</v>
      </c>
      <c r="P38" s="591">
        <f t="shared" si="25"/>
        <v>13.933333333333334</v>
      </c>
      <c r="Q38" s="591">
        <f t="shared" si="25"/>
        <v>27.666666666666668</v>
      </c>
      <c r="R38" s="591">
        <f t="shared" si="25"/>
        <v>61</v>
      </c>
      <c r="S38" s="591">
        <f t="shared" si="25"/>
        <v>102.6</v>
      </c>
      <c r="T38" s="594">
        <f>IF(N38&gt;0,(S38-N38)/N38,(IF(S38=0,"N/A",100%)))</f>
        <v>-0.18366264421164308</v>
      </c>
      <c r="U38" s="591">
        <f>U37+U35+U33</f>
        <v>15.866666666666665</v>
      </c>
      <c r="V38" s="591">
        <f>V37+V35+V33</f>
        <v>39.666666666666671</v>
      </c>
      <c r="W38" s="591">
        <f>W37+W35+W33</f>
        <v>69</v>
      </c>
      <c r="X38" s="591">
        <f>X37+X35+X33</f>
        <v>124.53333333333333</v>
      </c>
      <c r="Y38" s="594">
        <f>IF(S38&gt;0,(X38-S38)/S38,(IF(X38=0,"N/A",100%)))</f>
        <v>0.21377517868745943</v>
      </c>
      <c r="Z38" s="591">
        <f>Z37+Z35+Z33</f>
        <v>1.4666666666666668</v>
      </c>
      <c r="AA38" s="591">
        <f>AA37+AA35+AA33</f>
        <v>47.333333333333336</v>
      </c>
      <c r="AB38" s="591">
        <f>AB37+AB35+AB33</f>
        <v>57.5</v>
      </c>
      <c r="AC38" s="591">
        <f>AC37+AC35+AC33</f>
        <v>106.30000000000001</v>
      </c>
      <c r="AD38" s="595">
        <f>IF(X38&gt;0,(AC38-X38)/X38,(IF(AC38=0,"N/A",100%)))</f>
        <v>-0.14641327623126327</v>
      </c>
    </row>
    <row r="39" spans="1:256" ht="14.25" customHeight="1" thickTop="1" x14ac:dyDescent="0.25">
      <c r="A39" s="604"/>
      <c r="B39" s="604"/>
      <c r="C39" s="604"/>
      <c r="D39" s="604"/>
      <c r="E39" s="604"/>
      <c r="F39" s="604"/>
      <c r="G39" s="604"/>
      <c r="H39" s="604"/>
      <c r="I39" s="604"/>
      <c r="J39" s="604"/>
      <c r="K39" s="335"/>
      <c r="L39" s="335"/>
      <c r="M39" s="335"/>
      <c r="N39" s="335"/>
      <c r="O39" s="335"/>
      <c r="P39" s="335"/>
      <c r="Q39" s="335"/>
      <c r="R39" s="335"/>
      <c r="S39" s="335"/>
      <c r="T39" s="598"/>
      <c r="U39" s="335"/>
      <c r="V39" s="335"/>
      <c r="W39" s="335"/>
      <c r="X39" s="335"/>
      <c r="Y39" s="328"/>
      <c r="Z39" s="328"/>
      <c r="AA39" s="328"/>
      <c r="AB39" s="328"/>
      <c r="AC39" s="328"/>
      <c r="AD39" s="328"/>
      <c r="AE39" s="328"/>
      <c r="AF39" s="328"/>
      <c r="AG39" s="328"/>
      <c r="AH39" s="328"/>
      <c r="AI39" s="328"/>
      <c r="AJ39" s="328"/>
      <c r="AK39" s="328"/>
      <c r="AL39" s="328"/>
      <c r="AM39" s="328"/>
      <c r="AN39" s="328"/>
      <c r="AO39" s="328"/>
      <c r="AP39" s="328"/>
      <c r="AQ39" s="328"/>
    </row>
    <row r="40" spans="1:256" ht="14.25" customHeight="1" thickBot="1" x14ac:dyDescent="0.3">
      <c r="A40" s="604"/>
      <c r="B40" s="604"/>
      <c r="C40" s="604"/>
      <c r="D40" s="604"/>
      <c r="E40" s="604"/>
      <c r="F40" s="604"/>
      <c r="G40" s="604"/>
      <c r="H40" s="604"/>
      <c r="I40" s="604"/>
      <c r="J40" s="604"/>
      <c r="K40" s="335"/>
      <c r="L40" s="335"/>
      <c r="M40" s="335"/>
      <c r="N40" s="335"/>
      <c r="O40" s="335"/>
      <c r="P40" s="335"/>
      <c r="Q40" s="335"/>
      <c r="R40" s="335"/>
      <c r="S40" s="335"/>
      <c r="T40" s="598"/>
      <c r="U40" s="335"/>
      <c r="V40" s="335"/>
      <c r="W40" s="335"/>
      <c r="X40" s="335"/>
      <c r="Y40" s="328"/>
      <c r="Z40" s="328"/>
      <c r="AA40" s="328"/>
      <c r="AB40" s="328"/>
      <c r="AC40" s="328"/>
      <c r="AD40" s="328"/>
      <c r="AE40" s="328"/>
      <c r="AF40" s="328"/>
      <c r="AG40" s="328"/>
      <c r="AH40" s="328"/>
      <c r="AI40" s="328"/>
      <c r="AJ40" s="328"/>
      <c r="AK40" s="328"/>
      <c r="AL40" s="328"/>
      <c r="AM40" s="328"/>
      <c r="AN40" s="328"/>
      <c r="AO40" s="328"/>
      <c r="AP40" s="328"/>
      <c r="AQ40" s="328"/>
    </row>
    <row r="41" spans="1:256" customFormat="1" ht="18" thickBot="1" x14ac:dyDescent="0.35">
      <c r="A41" s="1718" t="s">
        <v>407</v>
      </c>
      <c r="B41" s="1719"/>
      <c r="C41" s="1719"/>
      <c r="D41" s="1719"/>
      <c r="E41" s="1719"/>
      <c r="F41" s="1719"/>
      <c r="G41" s="1719"/>
      <c r="H41" s="1719"/>
      <c r="I41" s="1719"/>
      <c r="J41" s="1719"/>
      <c r="K41" s="1719"/>
      <c r="L41" s="1719"/>
      <c r="M41" s="1719"/>
      <c r="N41" s="1719"/>
      <c r="O41" s="1719"/>
      <c r="P41" s="1719"/>
      <c r="Q41" s="1719"/>
      <c r="R41" s="1719"/>
      <c r="S41" s="1719"/>
      <c r="T41" s="1719"/>
      <c r="U41" s="1719"/>
      <c r="V41" s="1719"/>
      <c r="W41" s="1719"/>
      <c r="X41" s="1719"/>
      <c r="Y41" s="1719"/>
      <c r="Z41" s="1719"/>
      <c r="AA41" s="1719"/>
      <c r="AB41" s="1719"/>
      <c r="AC41" s="1719"/>
      <c r="AD41" s="1720"/>
    </row>
    <row r="42" spans="1:256" ht="26.4" x14ac:dyDescent="0.25">
      <c r="A42" s="1723" t="s">
        <v>952</v>
      </c>
      <c r="B42" s="1480" t="s">
        <v>954</v>
      </c>
      <c r="C42" s="1480" t="s">
        <v>955</v>
      </c>
      <c r="D42" s="1480" t="s">
        <v>956</v>
      </c>
      <c r="E42" s="820" t="s">
        <v>957</v>
      </c>
      <c r="F42" s="148" t="s">
        <v>954</v>
      </c>
      <c r="G42" s="1480" t="s">
        <v>955</v>
      </c>
      <c r="H42" s="1480" t="s">
        <v>956</v>
      </c>
      <c r="I42" s="1481" t="s">
        <v>957</v>
      </c>
      <c r="J42" s="820" t="s">
        <v>958</v>
      </c>
      <c r="K42" s="148" t="s">
        <v>954</v>
      </c>
      <c r="L42" s="148" t="s">
        <v>955</v>
      </c>
      <c r="M42" s="148" t="s">
        <v>956</v>
      </c>
      <c r="N42" s="1481" t="s">
        <v>1015</v>
      </c>
      <c r="O42" s="149" t="s">
        <v>958</v>
      </c>
      <c r="P42" s="148" t="s">
        <v>954</v>
      </c>
      <c r="Q42" s="148" t="s">
        <v>955</v>
      </c>
      <c r="R42" s="148" t="s">
        <v>956</v>
      </c>
      <c r="S42" s="1481" t="s">
        <v>1015</v>
      </c>
      <c r="T42" s="149" t="s">
        <v>1017</v>
      </c>
      <c r="U42" s="148" t="s">
        <v>954</v>
      </c>
      <c r="V42" s="148" t="s">
        <v>955</v>
      </c>
      <c r="W42" s="148" t="s">
        <v>956</v>
      </c>
      <c r="X42" s="1481" t="s">
        <v>1015</v>
      </c>
      <c r="Y42" s="149" t="s">
        <v>1017</v>
      </c>
      <c r="Z42" s="148" t="s">
        <v>954</v>
      </c>
      <c r="AA42" s="148" t="s">
        <v>955</v>
      </c>
      <c r="AB42" s="148" t="s">
        <v>956</v>
      </c>
      <c r="AC42" s="1481" t="s">
        <v>1015</v>
      </c>
      <c r="AD42" s="779" t="s">
        <v>1017</v>
      </c>
      <c r="AE42" s="328"/>
      <c r="AF42" s="328"/>
      <c r="AG42" s="328"/>
      <c r="AH42" s="328"/>
      <c r="AI42" s="328"/>
      <c r="AJ42" s="328"/>
      <c r="AK42" s="328"/>
      <c r="AL42" s="328"/>
      <c r="AM42" s="328"/>
      <c r="AN42" s="328"/>
      <c r="AO42" s="328"/>
      <c r="AP42" s="328"/>
      <c r="AQ42" s="328"/>
      <c r="AR42" s="328"/>
      <c r="AS42" s="328"/>
      <c r="AT42" s="328"/>
      <c r="AU42" s="328"/>
      <c r="AV42" s="328"/>
      <c r="AW42" s="328"/>
      <c r="AX42" s="328"/>
      <c r="AY42" s="328"/>
      <c r="AZ42" s="328"/>
      <c r="BA42" s="328"/>
      <c r="BB42" s="328"/>
      <c r="BC42" s="328"/>
      <c r="BD42" s="328"/>
      <c r="BE42" s="328"/>
      <c r="BF42" s="328"/>
      <c r="BG42" s="328"/>
      <c r="BH42" s="328"/>
      <c r="BI42" s="328"/>
      <c r="BJ42" s="328"/>
      <c r="BK42" s="328"/>
      <c r="BL42" s="328"/>
      <c r="BM42" s="328"/>
      <c r="BN42" s="328"/>
      <c r="BO42" s="328"/>
      <c r="BP42" s="328"/>
      <c r="BQ42" s="328"/>
      <c r="BR42" s="328"/>
      <c r="BS42" s="328"/>
      <c r="BT42" s="328"/>
      <c r="BU42" s="328"/>
      <c r="BV42" s="328"/>
      <c r="BW42" s="328"/>
      <c r="BX42" s="328"/>
      <c r="BY42" s="328"/>
      <c r="BZ42" s="328"/>
      <c r="CA42" s="328"/>
      <c r="CB42" s="328"/>
      <c r="CC42" s="328"/>
      <c r="CD42" s="328"/>
      <c r="CE42" s="328"/>
      <c r="CF42" s="328"/>
      <c r="CG42" s="328"/>
      <c r="CH42" s="328"/>
      <c r="CI42" s="328"/>
      <c r="CJ42" s="328"/>
      <c r="CK42" s="328"/>
      <c r="CL42" s="328"/>
      <c r="CM42" s="328"/>
      <c r="CN42" s="328"/>
      <c r="CO42" s="328"/>
      <c r="CP42" s="328"/>
      <c r="CQ42" s="328"/>
      <c r="CR42" s="328"/>
      <c r="CS42" s="328"/>
      <c r="CT42" s="328"/>
      <c r="CU42" s="328"/>
      <c r="CV42" s="328"/>
      <c r="CW42" s="328"/>
      <c r="CX42" s="328"/>
      <c r="CY42" s="328"/>
      <c r="CZ42" s="328"/>
      <c r="DA42" s="328"/>
      <c r="DB42" s="328"/>
      <c r="DC42" s="328"/>
      <c r="DD42" s="328"/>
      <c r="DE42" s="328"/>
      <c r="DF42" s="328"/>
      <c r="DG42" s="328"/>
      <c r="DH42" s="328"/>
      <c r="DI42" s="328"/>
      <c r="DJ42" s="328"/>
      <c r="DK42" s="328"/>
      <c r="DL42" s="328"/>
      <c r="DM42" s="328"/>
      <c r="DN42" s="328"/>
      <c r="DO42" s="328"/>
      <c r="DP42" s="328"/>
      <c r="DQ42" s="328"/>
      <c r="DR42" s="328"/>
      <c r="DS42" s="328"/>
      <c r="DT42" s="328"/>
      <c r="DU42" s="328"/>
      <c r="DV42" s="328"/>
      <c r="DW42" s="328"/>
      <c r="DX42" s="328"/>
      <c r="DY42" s="328"/>
      <c r="DZ42" s="328"/>
      <c r="EA42" s="328"/>
      <c r="EB42" s="328"/>
      <c r="EC42" s="328"/>
      <c r="ED42" s="328"/>
      <c r="EE42" s="328"/>
      <c r="EF42" s="328"/>
      <c r="EG42" s="328"/>
      <c r="EH42" s="328"/>
      <c r="EI42" s="328"/>
      <c r="EJ42" s="328"/>
      <c r="EK42" s="328"/>
      <c r="EL42" s="328"/>
      <c r="EM42" s="328"/>
      <c r="EN42" s="328"/>
      <c r="EO42" s="328"/>
      <c r="EP42" s="328"/>
      <c r="EQ42" s="328"/>
      <c r="ER42" s="328"/>
      <c r="ES42" s="328"/>
      <c r="ET42" s="328"/>
      <c r="EU42" s="328"/>
      <c r="EV42" s="328"/>
      <c r="EW42" s="328"/>
      <c r="EX42" s="328"/>
      <c r="EY42" s="328"/>
      <c r="EZ42" s="328"/>
      <c r="FA42" s="328"/>
      <c r="FB42" s="328"/>
      <c r="FC42" s="328"/>
      <c r="FD42" s="328"/>
      <c r="FE42" s="328"/>
      <c r="FF42" s="328"/>
      <c r="FG42" s="328"/>
      <c r="FH42" s="328"/>
      <c r="FI42" s="328"/>
      <c r="FJ42" s="328"/>
      <c r="FK42" s="328"/>
      <c r="FL42" s="328"/>
      <c r="FM42" s="328"/>
      <c r="FN42" s="328"/>
      <c r="FO42" s="328"/>
      <c r="FP42" s="328"/>
      <c r="FQ42" s="328"/>
      <c r="FR42" s="328"/>
      <c r="FS42" s="328"/>
      <c r="FT42" s="328"/>
      <c r="FU42" s="328"/>
      <c r="FV42" s="328"/>
      <c r="FW42" s="328"/>
      <c r="FX42" s="328"/>
      <c r="FY42" s="328"/>
      <c r="FZ42" s="328"/>
      <c r="GA42" s="328"/>
      <c r="GB42" s="328"/>
      <c r="GC42" s="328"/>
      <c r="GD42" s="328"/>
      <c r="GE42" s="328"/>
      <c r="GF42" s="328"/>
      <c r="GG42" s="328"/>
      <c r="GH42" s="328"/>
      <c r="GI42" s="328"/>
      <c r="GJ42" s="328"/>
      <c r="GK42" s="328"/>
      <c r="GL42" s="328"/>
      <c r="GM42" s="328"/>
      <c r="GN42" s="328"/>
      <c r="GO42" s="328"/>
      <c r="GP42" s="328"/>
      <c r="GQ42" s="328"/>
      <c r="GR42" s="328"/>
      <c r="GS42" s="328"/>
      <c r="GT42" s="328"/>
      <c r="GU42" s="328"/>
      <c r="GV42" s="328"/>
      <c r="GW42" s="328"/>
      <c r="GX42" s="328"/>
      <c r="GY42" s="328"/>
      <c r="GZ42" s="328"/>
      <c r="HA42" s="328"/>
      <c r="HB42" s="328"/>
      <c r="HC42" s="328"/>
      <c r="HD42" s="328"/>
      <c r="HE42" s="328"/>
      <c r="HF42" s="328"/>
      <c r="HG42" s="328"/>
      <c r="HH42" s="328"/>
      <c r="HI42" s="328"/>
      <c r="HJ42" s="328"/>
      <c r="HK42" s="328"/>
      <c r="HL42" s="328"/>
      <c r="HM42" s="328"/>
      <c r="HN42" s="328"/>
      <c r="HO42" s="328"/>
      <c r="HP42" s="328"/>
      <c r="HQ42" s="328"/>
      <c r="HR42" s="328"/>
      <c r="HS42" s="328"/>
      <c r="HT42" s="328"/>
      <c r="HU42" s="328"/>
      <c r="HV42" s="328"/>
      <c r="HW42" s="328"/>
      <c r="HX42" s="328"/>
      <c r="HY42" s="328"/>
      <c r="HZ42" s="328"/>
      <c r="IA42" s="328"/>
      <c r="IB42" s="328"/>
      <c r="IC42" s="328"/>
      <c r="ID42" s="328"/>
      <c r="IE42" s="328"/>
      <c r="IF42" s="328"/>
      <c r="IG42" s="328"/>
      <c r="IH42" s="328"/>
      <c r="II42" s="328"/>
      <c r="IJ42" s="328"/>
      <c r="IK42" s="328"/>
      <c r="IL42" s="328"/>
      <c r="IM42" s="328"/>
      <c r="IN42" s="328"/>
      <c r="IO42" s="328"/>
      <c r="IP42" s="328"/>
      <c r="IQ42" s="328"/>
      <c r="IR42" s="328"/>
      <c r="IS42" s="328"/>
      <c r="IT42" s="328"/>
      <c r="IU42" s="328"/>
      <c r="IV42" s="328"/>
    </row>
    <row r="43" spans="1:256" ht="12.75" customHeight="1" x14ac:dyDescent="0.25">
      <c r="A43" s="1724"/>
      <c r="B43" s="1742" t="s">
        <v>1407</v>
      </c>
      <c r="C43" s="1742"/>
      <c r="D43" s="1742"/>
      <c r="E43" s="1743"/>
      <c r="F43" s="1742" t="s">
        <v>1408</v>
      </c>
      <c r="G43" s="1742"/>
      <c r="H43" s="1742"/>
      <c r="I43" s="1742"/>
      <c r="J43" s="1743"/>
      <c r="K43" s="1726" t="s">
        <v>1396</v>
      </c>
      <c r="L43" s="1727"/>
      <c r="M43" s="1727"/>
      <c r="N43" s="1727"/>
      <c r="O43" s="1728"/>
      <c r="P43" s="1727" t="s">
        <v>1397</v>
      </c>
      <c r="Q43" s="1727"/>
      <c r="R43" s="1727"/>
      <c r="S43" s="1727"/>
      <c r="T43" s="1728"/>
      <c r="U43" s="1727" t="s">
        <v>1398</v>
      </c>
      <c r="V43" s="1727"/>
      <c r="W43" s="1727"/>
      <c r="X43" s="1727"/>
      <c r="Y43" s="1728"/>
      <c r="Z43" s="1727" t="str">
        <f>+Z26</f>
        <v>Summer 2013</v>
      </c>
      <c r="AA43" s="1727"/>
      <c r="AB43" s="1727"/>
      <c r="AC43" s="1727"/>
      <c r="AD43" s="1735"/>
      <c r="AE43" s="328"/>
      <c r="AF43" s="328"/>
      <c r="AG43" s="328"/>
      <c r="AH43" s="328"/>
      <c r="AI43" s="328"/>
      <c r="AJ43" s="328"/>
      <c r="AK43" s="328"/>
      <c r="AL43" s="328"/>
      <c r="AM43" s="328"/>
      <c r="AN43" s="328"/>
      <c r="AO43" s="328"/>
      <c r="AP43" s="328"/>
      <c r="AQ43" s="328"/>
      <c r="AR43" s="328"/>
      <c r="AS43" s="328"/>
      <c r="AT43" s="328"/>
      <c r="AU43" s="328"/>
      <c r="AV43" s="328"/>
      <c r="AW43" s="328"/>
      <c r="AX43" s="328"/>
      <c r="AY43" s="328"/>
      <c r="AZ43" s="328"/>
      <c r="BA43" s="328"/>
      <c r="BB43" s="328"/>
      <c r="BC43" s="328"/>
      <c r="BD43" s="328"/>
      <c r="BE43" s="328"/>
      <c r="BF43" s="328"/>
      <c r="BG43" s="328"/>
      <c r="BH43" s="328"/>
      <c r="BI43" s="328"/>
      <c r="BJ43" s="328"/>
      <c r="BK43" s="328"/>
      <c r="BL43" s="328"/>
      <c r="BM43" s="328"/>
      <c r="BN43" s="328"/>
      <c r="BO43" s="328"/>
      <c r="BP43" s="328"/>
      <c r="BQ43" s="328"/>
      <c r="BR43" s="328"/>
      <c r="BS43" s="328"/>
      <c r="BT43" s="328"/>
      <c r="BU43" s="328"/>
      <c r="BV43" s="328"/>
      <c r="BW43" s="328"/>
      <c r="BX43" s="328"/>
      <c r="BY43" s="328"/>
      <c r="BZ43" s="328"/>
      <c r="CA43" s="328"/>
      <c r="CB43" s="328"/>
      <c r="CC43" s="328"/>
      <c r="CD43" s="328"/>
      <c r="CE43" s="328"/>
      <c r="CF43" s="328"/>
      <c r="CG43" s="328"/>
      <c r="CH43" s="328"/>
      <c r="CI43" s="328"/>
      <c r="CJ43" s="328"/>
      <c r="CK43" s="328"/>
      <c r="CL43" s="328"/>
      <c r="CM43" s="328"/>
      <c r="CN43" s="328"/>
      <c r="CO43" s="328"/>
      <c r="CP43" s="328"/>
      <c r="CQ43" s="328"/>
      <c r="CR43" s="328"/>
      <c r="CS43" s="328"/>
      <c r="CT43" s="328"/>
      <c r="CU43" s="328"/>
      <c r="CV43" s="328"/>
      <c r="CW43" s="328"/>
      <c r="CX43" s="328"/>
      <c r="CY43" s="328"/>
      <c r="CZ43" s="328"/>
      <c r="DA43" s="328"/>
      <c r="DB43" s="328"/>
      <c r="DC43" s="328"/>
      <c r="DD43" s="328"/>
      <c r="DE43" s="328"/>
      <c r="DF43" s="328"/>
      <c r="DG43" s="328"/>
      <c r="DH43" s="328"/>
      <c r="DI43" s="328"/>
      <c r="DJ43" s="328"/>
      <c r="DK43" s="328"/>
      <c r="DL43" s="328"/>
      <c r="DM43" s="328"/>
      <c r="DN43" s="328"/>
      <c r="DO43" s="328"/>
      <c r="DP43" s="328"/>
      <c r="DQ43" s="328"/>
      <c r="DR43" s="328"/>
      <c r="DS43" s="328"/>
      <c r="DT43" s="328"/>
      <c r="DU43" s="328"/>
      <c r="DV43" s="328"/>
      <c r="DW43" s="328"/>
      <c r="DX43" s="328"/>
      <c r="DY43" s="328"/>
      <c r="DZ43" s="328"/>
      <c r="EA43" s="328"/>
      <c r="EB43" s="328"/>
      <c r="EC43" s="328"/>
      <c r="ED43" s="328"/>
      <c r="EE43" s="328"/>
      <c r="EF43" s="328"/>
      <c r="EG43" s="328"/>
      <c r="EH43" s="328"/>
      <c r="EI43" s="328"/>
      <c r="EJ43" s="328"/>
      <c r="EK43" s="328"/>
      <c r="EL43" s="328"/>
      <c r="EM43" s="328"/>
      <c r="EN43" s="328"/>
      <c r="EO43" s="328"/>
      <c r="EP43" s="328"/>
      <c r="EQ43" s="328"/>
      <c r="ER43" s="328"/>
      <c r="ES43" s="328"/>
      <c r="ET43" s="328"/>
      <c r="EU43" s="328"/>
      <c r="EV43" s="328"/>
      <c r="EW43" s="328"/>
      <c r="EX43" s="328"/>
      <c r="EY43" s="328"/>
      <c r="EZ43" s="328"/>
      <c r="FA43" s="328"/>
      <c r="FB43" s="328"/>
      <c r="FC43" s="328"/>
      <c r="FD43" s="328"/>
      <c r="FE43" s="328"/>
      <c r="FF43" s="328"/>
      <c r="FG43" s="328"/>
      <c r="FH43" s="328"/>
      <c r="FI43" s="328"/>
      <c r="FJ43" s="328"/>
      <c r="FK43" s="328"/>
      <c r="FL43" s="328"/>
      <c r="FM43" s="328"/>
      <c r="FN43" s="328"/>
      <c r="FO43" s="328"/>
      <c r="FP43" s="328"/>
      <c r="FQ43" s="328"/>
      <c r="FR43" s="328"/>
      <c r="FS43" s="328"/>
      <c r="FT43" s="328"/>
      <c r="FU43" s="328"/>
      <c r="FV43" s="328"/>
      <c r="FW43" s="328"/>
      <c r="FX43" s="328"/>
      <c r="FY43" s="328"/>
      <c r="FZ43" s="328"/>
      <c r="GA43" s="328"/>
      <c r="GB43" s="328"/>
      <c r="GC43" s="328"/>
      <c r="GD43" s="328"/>
      <c r="GE43" s="328"/>
      <c r="GF43" s="328"/>
      <c r="GG43" s="328"/>
      <c r="GH43" s="328"/>
      <c r="GI43" s="328"/>
      <c r="GJ43" s="328"/>
      <c r="GK43" s="328"/>
      <c r="GL43" s="328"/>
      <c r="GM43" s="328"/>
      <c r="GN43" s="328"/>
      <c r="GO43" s="328"/>
      <c r="GP43" s="328"/>
      <c r="GQ43" s="328"/>
      <c r="GR43" s="328"/>
      <c r="GS43" s="328"/>
      <c r="GT43" s="328"/>
      <c r="GU43" s="328"/>
      <c r="GV43" s="328"/>
      <c r="GW43" s="328"/>
      <c r="GX43" s="328"/>
      <c r="GY43" s="328"/>
      <c r="GZ43" s="328"/>
      <c r="HA43" s="328"/>
      <c r="HB43" s="328"/>
      <c r="HC43" s="328"/>
      <c r="HD43" s="328"/>
      <c r="HE43" s="328"/>
      <c r="HF43" s="328"/>
      <c r="HG43" s="328"/>
      <c r="HH43" s="328"/>
      <c r="HI43" s="328"/>
      <c r="HJ43" s="328"/>
      <c r="HK43" s="328"/>
      <c r="HL43" s="328"/>
      <c r="HM43" s="328"/>
      <c r="HN43" s="328"/>
      <c r="HO43" s="328"/>
      <c r="HP43" s="328"/>
      <c r="HQ43" s="328"/>
      <c r="HR43" s="328"/>
      <c r="HS43" s="328"/>
      <c r="HT43" s="328"/>
      <c r="HU43" s="328"/>
      <c r="HV43" s="328"/>
      <c r="HW43" s="328"/>
      <c r="HX43" s="328"/>
      <c r="HY43" s="328"/>
      <c r="HZ43" s="328"/>
      <c r="IA43" s="328"/>
      <c r="IB43" s="328"/>
      <c r="IC43" s="328"/>
      <c r="ID43" s="328"/>
      <c r="IE43" s="328"/>
      <c r="IF43" s="328"/>
      <c r="IG43" s="328"/>
      <c r="IH43" s="328"/>
      <c r="II43" s="328"/>
      <c r="IJ43" s="328"/>
      <c r="IK43" s="328"/>
      <c r="IL43" s="328"/>
      <c r="IM43" s="328"/>
      <c r="IN43" s="328"/>
      <c r="IO43" s="328"/>
      <c r="IP43" s="328"/>
      <c r="IQ43" s="328"/>
      <c r="IR43" s="328"/>
      <c r="IS43" s="328"/>
      <c r="IT43" s="328"/>
      <c r="IU43" s="328"/>
      <c r="IV43" s="328"/>
    </row>
    <row r="44" spans="1:256" s="610" customFormat="1" x14ac:dyDescent="0.25">
      <c r="A44" s="576" t="s">
        <v>408</v>
      </c>
      <c r="B44" s="1164"/>
      <c r="C44" s="1164"/>
      <c r="D44" s="1164"/>
      <c r="E44" s="1166"/>
      <c r="F44" s="1164"/>
      <c r="G44" s="1164"/>
      <c r="H44" s="1164"/>
      <c r="I44" s="1164"/>
      <c r="J44" s="1166"/>
      <c r="K44" s="605"/>
      <c r="L44" s="606"/>
      <c r="M44" s="606"/>
      <c r="N44" s="578"/>
      <c r="O44" s="607"/>
      <c r="P44" s="605"/>
      <c r="Q44" s="606"/>
      <c r="R44" s="606"/>
      <c r="S44" s="606"/>
      <c r="T44" s="607"/>
      <c r="U44" s="605"/>
      <c r="V44" s="606"/>
      <c r="W44" s="606"/>
      <c r="X44" s="606"/>
      <c r="Y44" s="607"/>
      <c r="Z44" s="605"/>
      <c r="AA44" s="606"/>
      <c r="AB44" s="606"/>
      <c r="AC44" s="606"/>
      <c r="AD44" s="608"/>
      <c r="AE44" s="328"/>
      <c r="AF44" s="328"/>
      <c r="AG44" s="328"/>
      <c r="AH44" s="328"/>
      <c r="AI44" s="328"/>
      <c r="AJ44" s="328"/>
      <c r="AK44" s="328"/>
      <c r="AL44" s="328"/>
      <c r="AM44" s="328"/>
      <c r="AN44" s="328"/>
      <c r="AO44" s="328"/>
      <c r="AP44" s="328"/>
      <c r="AQ44" s="328"/>
      <c r="AR44" s="328"/>
      <c r="AS44" s="328"/>
      <c r="AT44" s="328"/>
      <c r="AU44" s="328"/>
      <c r="AV44" s="328"/>
      <c r="AW44" s="328"/>
      <c r="AX44" s="328"/>
      <c r="AY44" s="328"/>
      <c r="AZ44" s="328"/>
      <c r="BA44" s="328"/>
      <c r="BB44" s="328"/>
      <c r="BC44" s="328"/>
      <c r="BD44" s="328"/>
      <c r="BE44" s="328"/>
      <c r="BF44" s="328"/>
      <c r="BG44" s="328"/>
      <c r="BH44" s="328"/>
      <c r="BI44" s="328"/>
      <c r="BJ44" s="328"/>
      <c r="BK44" s="328"/>
      <c r="BL44" s="328"/>
      <c r="BM44" s="328"/>
      <c r="BN44" s="328"/>
      <c r="BO44" s="328"/>
      <c r="BP44" s="328"/>
      <c r="BQ44" s="328"/>
      <c r="BR44" s="328"/>
      <c r="BS44" s="328"/>
      <c r="BT44" s="328"/>
      <c r="BU44" s="328"/>
      <c r="BV44" s="328"/>
      <c r="BW44" s="328"/>
      <c r="BX44" s="328"/>
      <c r="BY44" s="328"/>
      <c r="BZ44" s="328"/>
      <c r="CA44" s="328"/>
      <c r="CB44" s="328"/>
      <c r="CC44" s="328"/>
      <c r="CD44" s="328"/>
      <c r="CE44" s="328"/>
      <c r="CF44" s="328"/>
      <c r="CG44" s="328"/>
      <c r="CH44" s="328"/>
      <c r="CI44" s="328"/>
      <c r="CJ44" s="328"/>
      <c r="CK44" s="328"/>
      <c r="CL44" s="328"/>
      <c r="CM44" s="328"/>
      <c r="CN44" s="328"/>
      <c r="CO44" s="328"/>
      <c r="CP44" s="328"/>
      <c r="CQ44" s="328"/>
      <c r="CR44" s="328"/>
      <c r="CS44" s="328"/>
      <c r="CT44" s="328"/>
      <c r="CU44" s="328"/>
      <c r="CV44" s="328"/>
      <c r="CW44" s="328"/>
      <c r="CX44" s="328"/>
      <c r="CY44" s="328"/>
      <c r="CZ44" s="328"/>
      <c r="DA44" s="328"/>
      <c r="DB44" s="328"/>
      <c r="DC44" s="328"/>
      <c r="DD44" s="328"/>
      <c r="DE44" s="328"/>
      <c r="DF44" s="328"/>
      <c r="DG44" s="328"/>
      <c r="DH44" s="328"/>
      <c r="DI44" s="328"/>
      <c r="DJ44" s="328"/>
      <c r="DK44" s="328"/>
      <c r="DL44" s="328"/>
      <c r="DM44" s="328"/>
      <c r="DN44" s="328"/>
      <c r="DO44" s="328"/>
      <c r="DP44" s="328"/>
      <c r="DQ44" s="328"/>
      <c r="DR44" s="328"/>
      <c r="DS44" s="328"/>
      <c r="DT44" s="328"/>
      <c r="DU44" s="328"/>
      <c r="DV44" s="328"/>
      <c r="DW44" s="328"/>
      <c r="DX44" s="328"/>
      <c r="DY44" s="328"/>
      <c r="DZ44" s="328"/>
      <c r="EA44" s="328"/>
      <c r="EB44" s="328"/>
      <c r="EC44" s="328"/>
      <c r="ED44" s="328"/>
      <c r="EE44" s="328"/>
      <c r="EF44" s="328"/>
      <c r="EG44" s="328"/>
      <c r="EH44" s="328"/>
      <c r="EI44" s="328"/>
      <c r="EJ44" s="328"/>
      <c r="EK44" s="328"/>
      <c r="EL44" s="328"/>
      <c r="EM44" s="328"/>
      <c r="EN44" s="328"/>
      <c r="EO44" s="328"/>
      <c r="EP44" s="328"/>
      <c r="EQ44" s="328"/>
      <c r="ER44" s="328"/>
      <c r="ES44" s="328"/>
      <c r="ET44" s="328"/>
      <c r="EU44" s="328"/>
      <c r="EV44" s="328"/>
      <c r="EW44" s="328"/>
      <c r="EX44" s="328"/>
      <c r="EY44" s="328"/>
      <c r="EZ44" s="328"/>
      <c r="FA44" s="328"/>
      <c r="FB44" s="328"/>
      <c r="FC44" s="328"/>
      <c r="FD44" s="328"/>
      <c r="FE44" s="328"/>
      <c r="FF44" s="328"/>
      <c r="FG44" s="328"/>
      <c r="FH44" s="328"/>
      <c r="FI44" s="328"/>
      <c r="FJ44" s="328"/>
      <c r="FK44" s="328"/>
      <c r="FL44" s="328"/>
      <c r="FM44" s="328"/>
      <c r="FN44" s="328"/>
      <c r="FO44" s="328"/>
      <c r="FP44" s="328"/>
      <c r="FQ44" s="328"/>
      <c r="FR44" s="328"/>
      <c r="FS44" s="328"/>
      <c r="FT44" s="328"/>
      <c r="FU44" s="328"/>
      <c r="FV44" s="328"/>
      <c r="FW44" s="328"/>
      <c r="FX44" s="328"/>
      <c r="FY44" s="328"/>
      <c r="FZ44" s="328"/>
      <c r="GA44" s="328"/>
      <c r="GB44" s="328"/>
      <c r="GC44" s="328"/>
      <c r="GD44" s="328"/>
      <c r="GE44" s="328"/>
      <c r="GF44" s="328"/>
      <c r="GG44" s="328"/>
      <c r="GH44" s="328"/>
      <c r="GI44" s="328"/>
      <c r="GJ44" s="328"/>
      <c r="GK44" s="328"/>
      <c r="GL44" s="328"/>
      <c r="GM44" s="328"/>
      <c r="GN44" s="328"/>
      <c r="GO44" s="328"/>
      <c r="GP44" s="328"/>
      <c r="GQ44" s="328"/>
      <c r="GR44" s="328"/>
      <c r="GS44" s="328"/>
      <c r="GT44" s="328"/>
      <c r="GU44" s="328"/>
      <c r="GV44" s="328"/>
      <c r="GW44" s="328"/>
      <c r="GX44" s="328"/>
      <c r="GY44" s="328"/>
      <c r="GZ44" s="328"/>
      <c r="HA44" s="328"/>
      <c r="HB44" s="328"/>
      <c r="HC44" s="328"/>
      <c r="HD44" s="328"/>
      <c r="HE44" s="328"/>
      <c r="HF44" s="328"/>
      <c r="HG44" s="328"/>
      <c r="HH44" s="328"/>
      <c r="HI44" s="328"/>
      <c r="HJ44" s="328"/>
      <c r="HK44" s="328"/>
      <c r="HL44" s="328"/>
      <c r="HM44" s="328"/>
      <c r="HN44" s="328"/>
      <c r="HO44" s="328"/>
      <c r="HP44" s="328"/>
      <c r="HQ44" s="328"/>
      <c r="HR44" s="328"/>
      <c r="HS44" s="328"/>
      <c r="HT44" s="328"/>
      <c r="HU44" s="328"/>
      <c r="HV44" s="328"/>
      <c r="HW44" s="328"/>
      <c r="HX44" s="328"/>
      <c r="HY44" s="328"/>
      <c r="HZ44" s="328"/>
      <c r="IA44" s="328"/>
      <c r="IB44" s="328"/>
      <c r="IC44" s="328"/>
      <c r="ID44" s="328"/>
      <c r="IE44" s="328"/>
      <c r="IF44" s="328"/>
      <c r="IG44" s="328"/>
      <c r="IH44" s="328"/>
      <c r="II44" s="328"/>
      <c r="IJ44" s="328"/>
      <c r="IK44" s="328"/>
      <c r="IL44" s="328"/>
      <c r="IM44" s="328"/>
      <c r="IN44" s="328"/>
      <c r="IO44" s="328"/>
      <c r="IP44" s="328"/>
      <c r="IQ44" s="328"/>
      <c r="IR44" s="328"/>
      <c r="IS44" s="328"/>
      <c r="IT44" s="328"/>
      <c r="IU44" s="328"/>
      <c r="IV44" s="328"/>
    </row>
    <row r="45" spans="1:256" x14ac:dyDescent="0.25">
      <c r="A45" s="566" t="s">
        <v>976</v>
      </c>
      <c r="B45" s="154">
        <f>+'NEW Summer CHP by DISC'!B45/15</f>
        <v>4.2</v>
      </c>
      <c r="C45" s="154">
        <f>+'NEW Summer CHP by DISC'!C45/15</f>
        <v>0</v>
      </c>
      <c r="D45" s="154">
        <f>+'NEW Summer CHP by DISC'!D45/12</f>
        <v>13.25</v>
      </c>
      <c r="E45" s="375">
        <f>SUM(B45:D45)</f>
        <v>17.45</v>
      </c>
      <c r="F45" s="154">
        <f>+'NEW Summer CHP by DISC'!F45/15</f>
        <v>3.2</v>
      </c>
      <c r="G45" s="154">
        <f>+'NEW Summer CHP by DISC'!G45/15</f>
        <v>1.6666666666666667</v>
      </c>
      <c r="H45" s="154">
        <f>+'NEW Summer CHP by DISC'!H45/12</f>
        <v>19.5</v>
      </c>
      <c r="I45" s="154">
        <f>SUM(F45:H45)</f>
        <v>24.366666666666667</v>
      </c>
      <c r="J45" s="155">
        <f>IF(E45&gt;0,(I45-E45)/E45,(IF(I45=0,"N/A",100%)))</f>
        <v>0.39637058261700103</v>
      </c>
      <c r="K45" s="154">
        <f>+'NEW Summer CHP by DISC'!K45/15</f>
        <v>2.2000000000000002</v>
      </c>
      <c r="L45" s="154">
        <f>+'NEW Summer CHP by DISC'!L45/15</f>
        <v>0.2</v>
      </c>
      <c r="M45" s="154">
        <f>+'NEW Summer CHP by DISC'!M45/12</f>
        <v>10.25</v>
      </c>
      <c r="N45" s="1209">
        <f>SUM(K45:M45)</f>
        <v>12.65</v>
      </c>
      <c r="O45" s="155">
        <f>IF(I45&gt;0,(N45-I45)/I45,(IF(N45=0,"N/A",100%)))</f>
        <v>-0.48084815321477425</v>
      </c>
      <c r="P45" s="154">
        <f>+'NEW Summer CHP by DISC'!P45/15</f>
        <v>1</v>
      </c>
      <c r="Q45" s="154">
        <f>+'NEW Summer CHP by DISC'!Q45/15</f>
        <v>0.2</v>
      </c>
      <c r="R45" s="154">
        <f>+'NEW Summer CHP by DISC'!R45/12</f>
        <v>15.5</v>
      </c>
      <c r="S45" s="154">
        <f>SUM(P45:R45)</f>
        <v>16.7</v>
      </c>
      <c r="T45" s="155">
        <f>IF(N45&gt;0,(S45-N45)/N45,(IF(S45=0,"N/A",100%)))</f>
        <v>0.32015810276679835</v>
      </c>
      <c r="U45" s="154">
        <f>+'NEW Summer CHP by DISC'!U45/15</f>
        <v>0</v>
      </c>
      <c r="V45" s="154">
        <f>+'NEW Summer CHP by DISC'!V45/15</f>
        <v>0.6</v>
      </c>
      <c r="W45" s="154">
        <f>+'NEW Summer CHP by DISC'!W45/12</f>
        <v>7.5</v>
      </c>
      <c r="X45" s="154">
        <f>SUM(U45:W45)</f>
        <v>8.1</v>
      </c>
      <c r="Y45" s="155">
        <f>IF(S45&gt;0,(X45-S45)/S45,(IF(X45=0,"N/A",100%)))</f>
        <v>-0.51497005988023947</v>
      </c>
      <c r="Z45" s="154">
        <f>+'NEW Summer CHP by DISC'!Z45/15</f>
        <v>0</v>
      </c>
      <c r="AA45" s="154">
        <f>+'NEW Summer CHP by DISC'!AA45/15</f>
        <v>1.2</v>
      </c>
      <c r="AB45" s="154">
        <f>+'NEW Summer CHP by DISC'!AB45/12</f>
        <v>10</v>
      </c>
      <c r="AC45" s="154">
        <f>SUM(Z45:AB45)</f>
        <v>11.2</v>
      </c>
      <c r="AD45" s="567">
        <f>IF(X45&gt;0,(AC45-X45)/X45,(IF(AC45=0,"N/A",100%)))</f>
        <v>0.38271604938271603</v>
      </c>
      <c r="AE45" s="328"/>
      <c r="AF45" s="328"/>
      <c r="AG45" s="328"/>
      <c r="AH45" s="328"/>
      <c r="AI45" s="328"/>
      <c r="AJ45" s="328"/>
      <c r="AK45" s="328"/>
      <c r="AL45" s="328"/>
      <c r="AM45" s="328"/>
      <c r="AN45" s="328"/>
      <c r="AO45" s="328"/>
      <c r="AP45" s="328"/>
      <c r="AQ45" s="328"/>
      <c r="AR45" s="328"/>
      <c r="AS45" s="328"/>
      <c r="AT45" s="328"/>
      <c r="AU45" s="328"/>
      <c r="AV45" s="328"/>
      <c r="AW45" s="328"/>
      <c r="AX45" s="328"/>
      <c r="AY45" s="328"/>
      <c r="AZ45" s="328"/>
      <c r="BA45" s="328"/>
      <c r="BB45" s="328"/>
      <c r="BC45" s="328"/>
      <c r="BD45" s="328"/>
      <c r="BE45" s="328"/>
      <c r="BF45" s="328"/>
      <c r="BG45" s="328"/>
      <c r="BH45" s="328"/>
      <c r="BI45" s="328"/>
      <c r="BJ45" s="328"/>
      <c r="BK45" s="328"/>
      <c r="BL45" s="328"/>
      <c r="BM45" s="328"/>
      <c r="BN45" s="328"/>
      <c r="BO45" s="328"/>
      <c r="BP45" s="328"/>
      <c r="BQ45" s="328"/>
      <c r="BR45" s="328"/>
      <c r="BS45" s="328"/>
      <c r="BT45" s="328"/>
      <c r="BU45" s="328"/>
      <c r="BV45" s="328"/>
      <c r="BW45" s="328"/>
      <c r="BX45" s="328"/>
      <c r="BY45" s="328"/>
      <c r="BZ45" s="328"/>
      <c r="CA45" s="328"/>
      <c r="CB45" s="328"/>
      <c r="CC45" s="328"/>
      <c r="CD45" s="328"/>
      <c r="CE45" s="328"/>
      <c r="CF45" s="328"/>
      <c r="CG45" s="328"/>
      <c r="CH45" s="328"/>
      <c r="CI45" s="328"/>
      <c r="CJ45" s="328"/>
      <c r="CK45" s="328"/>
      <c r="CL45" s="328"/>
      <c r="CM45" s="328"/>
      <c r="CN45" s="328"/>
      <c r="CO45" s="328"/>
      <c r="CP45" s="328"/>
      <c r="CQ45" s="328"/>
      <c r="CR45" s="328"/>
      <c r="CS45" s="328"/>
      <c r="CT45" s="328"/>
      <c r="CU45" s="328"/>
      <c r="CV45" s="328"/>
      <c r="CW45" s="328"/>
      <c r="CX45" s="328"/>
      <c r="CY45" s="328"/>
      <c r="CZ45" s="328"/>
      <c r="DA45" s="328"/>
      <c r="DB45" s="328"/>
      <c r="DC45" s="328"/>
      <c r="DD45" s="328"/>
      <c r="DE45" s="328"/>
      <c r="DF45" s="328"/>
      <c r="DG45" s="328"/>
      <c r="DH45" s="328"/>
      <c r="DI45" s="328"/>
      <c r="DJ45" s="328"/>
      <c r="DK45" s="328"/>
      <c r="DL45" s="328"/>
      <c r="DM45" s="328"/>
      <c r="DN45" s="328"/>
      <c r="DO45" s="328"/>
      <c r="DP45" s="328"/>
      <c r="DQ45" s="328"/>
      <c r="DR45" s="328"/>
      <c r="DS45" s="328"/>
      <c r="DT45" s="328"/>
      <c r="DU45" s="328"/>
      <c r="DV45" s="328"/>
      <c r="DW45" s="328"/>
      <c r="DX45" s="328"/>
      <c r="DY45" s="328"/>
      <c r="DZ45" s="328"/>
      <c r="EA45" s="328"/>
      <c r="EB45" s="328"/>
      <c r="EC45" s="328"/>
      <c r="ED45" s="328"/>
      <c r="EE45" s="328"/>
      <c r="EF45" s="328"/>
      <c r="EG45" s="328"/>
      <c r="EH45" s="328"/>
      <c r="EI45" s="328"/>
      <c r="EJ45" s="328"/>
      <c r="EK45" s="328"/>
      <c r="EL45" s="328"/>
      <c r="EM45" s="328"/>
      <c r="EN45" s="328"/>
      <c r="EO45" s="328"/>
      <c r="EP45" s="328"/>
      <c r="EQ45" s="328"/>
      <c r="ER45" s="328"/>
      <c r="ES45" s="328"/>
      <c r="ET45" s="328"/>
      <c r="EU45" s="328"/>
      <c r="EV45" s="328"/>
      <c r="EW45" s="328"/>
      <c r="EX45" s="328"/>
      <c r="EY45" s="328"/>
      <c r="EZ45" s="328"/>
      <c r="FA45" s="328"/>
      <c r="FB45" s="328"/>
      <c r="FC45" s="328"/>
      <c r="FD45" s="328"/>
      <c r="FE45" s="328"/>
      <c r="FF45" s="328"/>
      <c r="FG45" s="328"/>
      <c r="FH45" s="328"/>
      <c r="FI45" s="328"/>
      <c r="FJ45" s="328"/>
      <c r="FK45" s="328"/>
      <c r="FL45" s="328"/>
      <c r="FM45" s="328"/>
      <c r="FN45" s="328"/>
      <c r="FO45" s="328"/>
      <c r="FP45" s="328"/>
      <c r="FQ45" s="328"/>
      <c r="FR45" s="328"/>
      <c r="FS45" s="328"/>
      <c r="FT45" s="328"/>
      <c r="FU45" s="328"/>
      <c r="FV45" s="328"/>
      <c r="FW45" s="328"/>
      <c r="FX45" s="328"/>
      <c r="FY45" s="328"/>
      <c r="FZ45" s="328"/>
      <c r="GA45" s="328"/>
      <c r="GB45" s="328"/>
      <c r="GC45" s="328"/>
      <c r="GD45" s="328"/>
      <c r="GE45" s="328"/>
      <c r="GF45" s="328"/>
      <c r="GG45" s="328"/>
      <c r="GH45" s="328"/>
      <c r="GI45" s="328"/>
      <c r="GJ45" s="328"/>
      <c r="GK45" s="328"/>
      <c r="GL45" s="328"/>
      <c r="GM45" s="328"/>
      <c r="GN45" s="328"/>
      <c r="GO45" s="328"/>
      <c r="GP45" s="328"/>
      <c r="GQ45" s="328"/>
      <c r="GR45" s="328"/>
      <c r="GS45" s="328"/>
      <c r="GT45" s="328"/>
      <c r="GU45" s="328"/>
      <c r="GV45" s="328"/>
      <c r="GW45" s="328"/>
      <c r="GX45" s="328"/>
      <c r="GY45" s="328"/>
      <c r="GZ45" s="328"/>
      <c r="HA45" s="328"/>
      <c r="HB45" s="328"/>
      <c r="HC45" s="328"/>
      <c r="HD45" s="328"/>
      <c r="HE45" s="328"/>
      <c r="HF45" s="328"/>
      <c r="HG45" s="328"/>
      <c r="HH45" s="328"/>
      <c r="HI45" s="328"/>
      <c r="HJ45" s="328"/>
      <c r="HK45" s="328"/>
      <c r="HL45" s="328"/>
      <c r="HM45" s="328"/>
      <c r="HN45" s="328"/>
      <c r="HO45" s="328"/>
      <c r="HP45" s="328"/>
      <c r="HQ45" s="328"/>
      <c r="HR45" s="328"/>
      <c r="HS45" s="328"/>
      <c r="HT45" s="328"/>
      <c r="HU45" s="328"/>
      <c r="HV45" s="328"/>
      <c r="HW45" s="328"/>
      <c r="HX45" s="328"/>
      <c r="HY45" s="328"/>
      <c r="HZ45" s="328"/>
      <c r="IA45" s="328"/>
      <c r="IB45" s="328"/>
      <c r="IC45" s="328"/>
      <c r="ID45" s="328"/>
      <c r="IE45" s="328"/>
      <c r="IF45" s="328"/>
      <c r="IG45" s="328"/>
      <c r="IH45" s="328"/>
      <c r="II45" s="328"/>
      <c r="IJ45" s="328"/>
      <c r="IK45" s="328"/>
      <c r="IL45" s="328"/>
      <c r="IM45" s="328"/>
      <c r="IN45" s="328"/>
      <c r="IO45" s="328"/>
      <c r="IP45" s="328"/>
      <c r="IQ45" s="328"/>
      <c r="IR45" s="328"/>
      <c r="IS45" s="328"/>
      <c r="IT45" s="328"/>
      <c r="IU45" s="328"/>
      <c r="IV45" s="328"/>
    </row>
    <row r="46" spans="1:256" s="575" customFormat="1" ht="13.8" x14ac:dyDescent="0.25">
      <c r="A46" s="570" t="s">
        <v>961</v>
      </c>
      <c r="B46" s="611">
        <f t="shared" ref="B46:I46" si="26">+B45</f>
        <v>4.2</v>
      </c>
      <c r="C46" s="611">
        <f t="shared" si="26"/>
        <v>0</v>
      </c>
      <c r="D46" s="611">
        <f t="shared" si="26"/>
        <v>13.25</v>
      </c>
      <c r="E46" s="612">
        <f t="shared" si="26"/>
        <v>17.45</v>
      </c>
      <c r="F46" s="611">
        <f t="shared" si="26"/>
        <v>3.2</v>
      </c>
      <c r="G46" s="611">
        <f t="shared" si="26"/>
        <v>1.6666666666666667</v>
      </c>
      <c r="H46" s="611">
        <f t="shared" si="26"/>
        <v>19.5</v>
      </c>
      <c r="I46" s="611">
        <f t="shared" si="26"/>
        <v>24.366666666666667</v>
      </c>
      <c r="J46" s="613">
        <f>IF(E46&gt;0,(I46-E46)/E46,(IF(I46=0,"N/A",100%)))</f>
        <v>0.39637058261700103</v>
      </c>
      <c r="K46" s="611">
        <f t="shared" ref="K46:S46" si="27">+K45</f>
        <v>2.2000000000000002</v>
      </c>
      <c r="L46" s="611">
        <f t="shared" si="27"/>
        <v>0.2</v>
      </c>
      <c r="M46" s="611">
        <f t="shared" si="27"/>
        <v>10.25</v>
      </c>
      <c r="N46" s="586">
        <f t="shared" si="27"/>
        <v>12.65</v>
      </c>
      <c r="O46" s="613">
        <f>IF(I46&gt;0,(N46-I46)/I46,(IF(N46=0,"N/A",100%)))</f>
        <v>-0.48084815321477425</v>
      </c>
      <c r="P46" s="611">
        <f t="shared" si="27"/>
        <v>1</v>
      </c>
      <c r="Q46" s="611">
        <f t="shared" si="27"/>
        <v>0.2</v>
      </c>
      <c r="R46" s="611">
        <f t="shared" si="27"/>
        <v>15.5</v>
      </c>
      <c r="S46" s="611">
        <f t="shared" si="27"/>
        <v>16.7</v>
      </c>
      <c r="T46" s="613">
        <f>IF(N46&gt;0,(S46-N46)/N46,(IF(S46=0,"N/A",100%)))</f>
        <v>0.32015810276679835</v>
      </c>
      <c r="U46" s="611">
        <f>+U45</f>
        <v>0</v>
      </c>
      <c r="V46" s="611">
        <f>+V45</f>
        <v>0.6</v>
      </c>
      <c r="W46" s="611">
        <f>+W45</f>
        <v>7.5</v>
      </c>
      <c r="X46" s="611">
        <f>+X45</f>
        <v>8.1</v>
      </c>
      <c r="Y46" s="613">
        <f>IF(S46&gt;0,(X46-S46)/S46,(IF(X46=0,"N/A",100%)))</f>
        <v>-0.51497005988023947</v>
      </c>
      <c r="Z46" s="611">
        <f>+Z45</f>
        <v>0</v>
      </c>
      <c r="AA46" s="611">
        <f>+AA45</f>
        <v>1.2</v>
      </c>
      <c r="AB46" s="611">
        <f>+AB45</f>
        <v>10</v>
      </c>
      <c r="AC46" s="611">
        <f>+AC45</f>
        <v>11.2</v>
      </c>
      <c r="AD46" s="614">
        <f>IF(X46&gt;0,(AC46-X46)/X46,(IF(AC46=0,"N/A",100%)))</f>
        <v>0.38271604938271603</v>
      </c>
      <c r="AE46" s="328"/>
      <c r="AF46" s="328"/>
      <c r="AG46" s="328"/>
      <c r="AH46" s="328"/>
      <c r="AI46" s="328"/>
      <c r="AJ46" s="328"/>
      <c r="AK46" s="328"/>
      <c r="AL46" s="328"/>
      <c r="AM46" s="328"/>
      <c r="AN46" s="328"/>
      <c r="AO46" s="328"/>
      <c r="AP46" s="328"/>
      <c r="AQ46" s="328"/>
      <c r="AR46" s="328"/>
      <c r="AS46" s="328"/>
      <c r="AT46" s="328"/>
      <c r="AU46" s="328"/>
      <c r="AV46" s="328"/>
      <c r="AW46" s="328"/>
      <c r="AX46" s="328"/>
      <c r="AY46" s="328"/>
      <c r="AZ46" s="328"/>
      <c r="BA46" s="328"/>
      <c r="BB46" s="328"/>
      <c r="BC46" s="328"/>
      <c r="BD46" s="328"/>
      <c r="BE46" s="328"/>
      <c r="BF46" s="328"/>
      <c r="BG46" s="328"/>
      <c r="BH46" s="328"/>
      <c r="BI46" s="328"/>
      <c r="BJ46" s="328"/>
      <c r="BK46" s="328"/>
      <c r="BL46" s="328"/>
      <c r="BM46" s="328"/>
      <c r="BN46" s="328"/>
      <c r="BO46" s="328"/>
      <c r="BP46" s="328"/>
      <c r="BQ46" s="328"/>
      <c r="BR46" s="328"/>
      <c r="BS46" s="328"/>
      <c r="BT46" s="328"/>
      <c r="BU46" s="328"/>
      <c r="BV46" s="328"/>
      <c r="BW46" s="328"/>
      <c r="BX46" s="328"/>
      <c r="BY46" s="328"/>
      <c r="BZ46" s="328"/>
      <c r="CA46" s="328"/>
      <c r="CB46" s="328"/>
      <c r="CC46" s="328"/>
      <c r="CD46" s="328"/>
      <c r="CE46" s="328"/>
      <c r="CF46" s="328"/>
      <c r="CG46" s="328"/>
      <c r="CH46" s="328"/>
      <c r="CI46" s="328"/>
      <c r="CJ46" s="328"/>
      <c r="CK46" s="328"/>
      <c r="CL46" s="328"/>
      <c r="CM46" s="328"/>
      <c r="CN46" s="328"/>
      <c r="CO46" s="328"/>
      <c r="CP46" s="328"/>
      <c r="CQ46" s="328"/>
      <c r="CR46" s="328"/>
      <c r="CS46" s="328"/>
      <c r="CT46" s="328"/>
      <c r="CU46" s="328"/>
      <c r="CV46" s="328"/>
      <c r="CW46" s="328"/>
      <c r="CX46" s="328"/>
      <c r="CY46" s="328"/>
      <c r="CZ46" s="328"/>
      <c r="DA46" s="328"/>
      <c r="DB46" s="328"/>
      <c r="DC46" s="328"/>
      <c r="DD46" s="328"/>
      <c r="DE46" s="328"/>
      <c r="DF46" s="328"/>
      <c r="DG46" s="328"/>
      <c r="DH46" s="328"/>
      <c r="DI46" s="328"/>
      <c r="DJ46" s="328"/>
      <c r="DK46" s="328"/>
      <c r="DL46" s="328"/>
      <c r="DM46" s="328"/>
      <c r="DN46" s="328"/>
      <c r="DO46" s="328"/>
      <c r="DP46" s="328"/>
      <c r="DQ46" s="328"/>
      <c r="DR46" s="328"/>
      <c r="DS46" s="328"/>
      <c r="DT46" s="328"/>
      <c r="DU46" s="328"/>
      <c r="DV46" s="328"/>
      <c r="DW46" s="328"/>
      <c r="DX46" s="328"/>
      <c r="DY46" s="328"/>
      <c r="DZ46" s="328"/>
      <c r="EA46" s="328"/>
      <c r="EB46" s="328"/>
      <c r="EC46" s="328"/>
      <c r="ED46" s="328"/>
      <c r="EE46" s="328"/>
      <c r="EF46" s="328"/>
      <c r="EG46" s="328"/>
      <c r="EH46" s="328"/>
      <c r="EI46" s="328"/>
      <c r="EJ46" s="328"/>
      <c r="EK46" s="328"/>
      <c r="EL46" s="328"/>
      <c r="EM46" s="328"/>
      <c r="EN46" s="328"/>
      <c r="EO46" s="328"/>
      <c r="EP46" s="328"/>
      <c r="EQ46" s="328"/>
      <c r="ER46" s="328"/>
      <c r="ES46" s="328"/>
      <c r="ET46" s="328"/>
      <c r="EU46" s="328"/>
      <c r="EV46" s="328"/>
      <c r="EW46" s="328"/>
      <c r="EX46" s="328"/>
      <c r="EY46" s="328"/>
      <c r="EZ46" s="328"/>
      <c r="FA46" s="328"/>
      <c r="FB46" s="328"/>
      <c r="FC46" s="328"/>
      <c r="FD46" s="328"/>
      <c r="FE46" s="328"/>
      <c r="FF46" s="328"/>
      <c r="FG46" s="328"/>
      <c r="FH46" s="328"/>
      <c r="FI46" s="328"/>
      <c r="FJ46" s="328"/>
      <c r="FK46" s="328"/>
      <c r="FL46" s="328"/>
      <c r="FM46" s="328"/>
      <c r="FN46" s="328"/>
      <c r="FO46" s="328"/>
      <c r="FP46" s="328"/>
      <c r="FQ46" s="328"/>
      <c r="FR46" s="328"/>
      <c r="FS46" s="328"/>
      <c r="FT46" s="328"/>
      <c r="FU46" s="328"/>
      <c r="FV46" s="328"/>
      <c r="FW46" s="328"/>
      <c r="FX46" s="328"/>
      <c r="FY46" s="328"/>
      <c r="FZ46" s="328"/>
      <c r="GA46" s="328"/>
      <c r="GB46" s="328"/>
      <c r="GC46" s="328"/>
      <c r="GD46" s="328"/>
      <c r="GE46" s="328"/>
      <c r="GF46" s="328"/>
      <c r="GG46" s="328"/>
      <c r="GH46" s="328"/>
      <c r="GI46" s="328"/>
      <c r="GJ46" s="328"/>
      <c r="GK46" s="328"/>
      <c r="GL46" s="328"/>
      <c r="GM46" s="328"/>
      <c r="GN46" s="328"/>
      <c r="GO46" s="328"/>
      <c r="GP46" s="328"/>
      <c r="GQ46" s="328"/>
      <c r="GR46" s="328"/>
      <c r="GS46" s="328"/>
      <c r="GT46" s="328"/>
      <c r="GU46" s="328"/>
      <c r="GV46" s="328"/>
      <c r="GW46" s="328"/>
      <c r="GX46" s="328"/>
      <c r="GY46" s="328"/>
      <c r="GZ46" s="328"/>
      <c r="HA46" s="328"/>
      <c r="HB46" s="328"/>
      <c r="HC46" s="328"/>
      <c r="HD46" s="328"/>
      <c r="HE46" s="328"/>
      <c r="HF46" s="328"/>
      <c r="HG46" s="328"/>
      <c r="HH46" s="328"/>
      <c r="HI46" s="328"/>
      <c r="HJ46" s="328"/>
      <c r="HK46" s="328"/>
      <c r="HL46" s="328"/>
      <c r="HM46" s="328"/>
      <c r="HN46" s="328"/>
      <c r="HO46" s="328"/>
      <c r="HP46" s="328"/>
      <c r="HQ46" s="328"/>
      <c r="HR46" s="328"/>
      <c r="HS46" s="328"/>
      <c r="HT46" s="328"/>
      <c r="HU46" s="328"/>
      <c r="HV46" s="328"/>
      <c r="HW46" s="328"/>
      <c r="HX46" s="328"/>
      <c r="HY46" s="328"/>
      <c r="HZ46" s="328"/>
      <c r="IA46" s="328"/>
      <c r="IB46" s="328"/>
      <c r="IC46" s="328"/>
      <c r="ID46" s="328"/>
      <c r="IE46" s="328"/>
      <c r="IF46" s="328"/>
      <c r="IG46" s="328"/>
      <c r="IH46" s="328"/>
      <c r="II46" s="328"/>
      <c r="IJ46" s="328"/>
      <c r="IK46" s="328"/>
      <c r="IL46" s="328"/>
      <c r="IM46" s="328"/>
      <c r="IN46" s="328"/>
      <c r="IO46" s="328"/>
      <c r="IP46" s="328"/>
      <c r="IQ46" s="328"/>
      <c r="IR46" s="328"/>
      <c r="IS46" s="328"/>
      <c r="IT46" s="328"/>
      <c r="IU46" s="328"/>
      <c r="IV46" s="328"/>
    </row>
    <row r="47" spans="1:256" x14ac:dyDescent="0.25">
      <c r="A47" s="576" t="s">
        <v>411</v>
      </c>
      <c r="B47" s="151"/>
      <c r="C47" s="152"/>
      <c r="D47" s="152"/>
      <c r="E47" s="330"/>
      <c r="F47" s="151"/>
      <c r="G47" s="152"/>
      <c r="H47" s="152"/>
      <c r="I47" s="152"/>
      <c r="J47" s="153"/>
      <c r="K47" s="151"/>
      <c r="L47" s="152"/>
      <c r="M47" s="152"/>
      <c r="N47" s="1208"/>
      <c r="O47" s="153"/>
      <c r="P47" s="151"/>
      <c r="Q47" s="152"/>
      <c r="R47" s="152"/>
      <c r="S47" s="152"/>
      <c r="T47" s="153"/>
      <c r="U47" s="151"/>
      <c r="V47" s="152"/>
      <c r="W47" s="152"/>
      <c r="X47" s="152"/>
      <c r="Y47" s="153"/>
      <c r="Z47" s="151"/>
      <c r="AA47" s="152"/>
      <c r="AB47" s="152"/>
      <c r="AC47" s="152"/>
      <c r="AD47" s="565"/>
      <c r="AE47" s="328"/>
      <c r="AF47" s="328"/>
      <c r="AG47" s="328"/>
      <c r="AH47" s="328"/>
      <c r="AI47" s="328"/>
      <c r="AJ47" s="328"/>
      <c r="AK47" s="328"/>
      <c r="AL47" s="328"/>
      <c r="AM47" s="328"/>
      <c r="AN47" s="328"/>
      <c r="AO47" s="328"/>
      <c r="AP47" s="328"/>
      <c r="AQ47" s="328"/>
    </row>
    <row r="48" spans="1:256" x14ac:dyDescent="0.25">
      <c r="A48" s="666" t="s">
        <v>1014</v>
      </c>
      <c r="B48" s="154">
        <f>+'NEW Summer CHP by DISC'!B48/15</f>
        <v>0</v>
      </c>
      <c r="C48" s="154">
        <f>+'NEW Summer CHP by DISC'!C48/15</f>
        <v>0</v>
      </c>
      <c r="D48" s="154">
        <f>+'NEW Summer CHP by DISC'!D48/12</f>
        <v>0</v>
      </c>
      <c r="E48" s="331">
        <f t="shared" ref="E48:E53" si="28">SUM(B48:D48)</f>
        <v>0</v>
      </c>
      <c r="F48" s="154">
        <f>+'NEW Summer CHP by DISC'!F48/15</f>
        <v>0</v>
      </c>
      <c r="G48" s="154">
        <f>+'NEW Summer CHP by DISC'!G48/15</f>
        <v>0</v>
      </c>
      <c r="H48" s="154">
        <f>+'NEW Summer CHP by DISC'!H48/12</f>
        <v>0</v>
      </c>
      <c r="I48" s="154">
        <f t="shared" ref="I48:I53" si="29">SUM(F48:H48)</f>
        <v>0</v>
      </c>
      <c r="J48" s="155" t="str">
        <f t="shared" ref="J48:J54" si="30">IF(E48&gt;0,(I48-E48)/E48,(IF(I48=0,"N/A",100%)))</f>
        <v>N/A</v>
      </c>
      <c r="K48" s="154">
        <f>+'NEW Summer CHP by DISC'!K48/15</f>
        <v>0</v>
      </c>
      <c r="L48" s="154">
        <f>+'NEW Summer CHP by DISC'!L48/15</f>
        <v>0</v>
      </c>
      <c r="M48" s="154">
        <f>+'NEW Summer CHP by DISC'!M48/12</f>
        <v>0</v>
      </c>
      <c r="N48" s="1209">
        <f t="shared" ref="N48:N53" si="31">SUM(K48:M48)</f>
        <v>0</v>
      </c>
      <c r="O48" s="155" t="str">
        <f t="shared" ref="O48:O54" si="32">IF(I48&gt;0,(N48-I48)/I48,(IF(N48=0,"N/A",100%)))</f>
        <v>N/A</v>
      </c>
      <c r="P48" s="154">
        <f>+'NEW Summer CHP by DISC'!P48/15</f>
        <v>0</v>
      </c>
      <c r="Q48" s="154">
        <f>+'NEW Summer CHP by DISC'!Q48/15</f>
        <v>0</v>
      </c>
      <c r="R48" s="154">
        <f>+'NEW Summer CHP by DISC'!R48/12</f>
        <v>0</v>
      </c>
      <c r="S48" s="154">
        <f t="shared" ref="S48:S53" si="33">SUM(P48:R48)</f>
        <v>0</v>
      </c>
      <c r="T48" s="155" t="str">
        <f t="shared" ref="T48:T54" si="34">IF(N48&gt;0,(S48-N48)/N48,(IF(S48=0,"N/A",100%)))</f>
        <v>N/A</v>
      </c>
      <c r="U48" s="154">
        <f>+'NEW Summer CHP by DISC'!U48/15</f>
        <v>0</v>
      </c>
      <c r="V48" s="154">
        <f>+'NEW Summer CHP by DISC'!V48/15</f>
        <v>0</v>
      </c>
      <c r="W48" s="154">
        <f>+'NEW Summer CHP by DISC'!W48/12</f>
        <v>0</v>
      </c>
      <c r="X48" s="154">
        <f t="shared" ref="X48:X53" si="35">SUM(U48:W48)</f>
        <v>0</v>
      </c>
      <c r="Y48" s="155" t="str">
        <f t="shared" ref="Y48:Y54" si="36">IF(S48&gt;0,(X48-S48)/S48,(IF(X48=0,"N/A",100%)))</f>
        <v>N/A</v>
      </c>
      <c r="Z48" s="154">
        <f>+'NEW Summer CHP by DISC'!Z48/15</f>
        <v>0</v>
      </c>
      <c r="AA48" s="154">
        <f>+'NEW Summer CHP by DISC'!AA48/15</f>
        <v>0</v>
      </c>
      <c r="AB48" s="154">
        <f>+'NEW Summer CHP by DISC'!AB48/12</f>
        <v>0</v>
      </c>
      <c r="AC48" s="154">
        <f t="shared" ref="AC48:AC53" si="37">SUM(Z48:AB48)</f>
        <v>0</v>
      </c>
      <c r="AD48" s="567" t="str">
        <f t="shared" ref="AD48:AD50" si="38">IF(X48&gt;0,(AC48-X48)/X48,(IF(AC48=0,"N/A",100%)))</f>
        <v>N/A</v>
      </c>
      <c r="AE48" s="328"/>
      <c r="AF48" s="328"/>
      <c r="AG48" s="328"/>
      <c r="AH48" s="328"/>
      <c r="AI48" s="328"/>
      <c r="AJ48" s="328"/>
      <c r="AK48" s="328"/>
      <c r="AL48" s="328"/>
      <c r="AM48" s="328"/>
      <c r="AN48" s="328"/>
      <c r="AO48" s="328"/>
      <c r="AP48" s="328"/>
      <c r="AQ48" s="328"/>
    </row>
    <row r="49" spans="1:43" x14ac:dyDescent="0.25">
      <c r="A49" s="566" t="s">
        <v>978</v>
      </c>
      <c r="B49" s="154">
        <f>+'NEW Summer CHP by DISC'!B49/15</f>
        <v>1.4</v>
      </c>
      <c r="C49" s="154">
        <f>+'NEW Summer CHP by DISC'!C49/15</f>
        <v>2</v>
      </c>
      <c r="D49" s="154">
        <f>+'NEW Summer CHP by DISC'!D49/12</f>
        <v>0</v>
      </c>
      <c r="E49" s="331">
        <f t="shared" si="28"/>
        <v>3.4</v>
      </c>
      <c r="F49" s="154">
        <f>+'NEW Summer CHP by DISC'!F49/15</f>
        <v>0.6</v>
      </c>
      <c r="G49" s="154">
        <f>+'NEW Summer CHP by DISC'!G49/15</f>
        <v>1.6</v>
      </c>
      <c r="H49" s="154">
        <f>+'NEW Summer CHP by DISC'!H49/12</f>
        <v>0</v>
      </c>
      <c r="I49" s="154">
        <f t="shared" si="29"/>
        <v>2.2000000000000002</v>
      </c>
      <c r="J49" s="155">
        <f t="shared" si="30"/>
        <v>-0.35294117647058815</v>
      </c>
      <c r="K49" s="154">
        <f>+'NEW Summer CHP by DISC'!K49/15</f>
        <v>1.4</v>
      </c>
      <c r="L49" s="154">
        <f>+'NEW Summer CHP by DISC'!L49/15</f>
        <v>2</v>
      </c>
      <c r="M49" s="154">
        <f>+'NEW Summer CHP by DISC'!M49/12</f>
        <v>0</v>
      </c>
      <c r="N49" s="1209">
        <f t="shared" si="31"/>
        <v>3.4</v>
      </c>
      <c r="O49" s="155">
        <f t="shared" si="32"/>
        <v>0.5454545454545453</v>
      </c>
      <c r="P49" s="154">
        <f>+'NEW Summer CHP by DISC'!P49/15</f>
        <v>0</v>
      </c>
      <c r="Q49" s="154">
        <f>+'NEW Summer CHP by DISC'!Q49/15</f>
        <v>1.6</v>
      </c>
      <c r="R49" s="154">
        <f>+'NEW Summer CHP by DISC'!R49/12</f>
        <v>0</v>
      </c>
      <c r="S49" s="154">
        <f t="shared" si="33"/>
        <v>1.6</v>
      </c>
      <c r="T49" s="155">
        <f t="shared" si="34"/>
        <v>-0.52941176470588236</v>
      </c>
      <c r="U49" s="154">
        <f>+'NEW Summer CHP by DISC'!U49/15</f>
        <v>1.4</v>
      </c>
      <c r="V49" s="154">
        <f>+'NEW Summer CHP by DISC'!V49/15</f>
        <v>1</v>
      </c>
      <c r="W49" s="154">
        <f>+'NEW Summer CHP by DISC'!W49/12</f>
        <v>0</v>
      </c>
      <c r="X49" s="154">
        <f t="shared" si="35"/>
        <v>2.4</v>
      </c>
      <c r="Y49" s="155">
        <f t="shared" si="36"/>
        <v>0.49999999999999989</v>
      </c>
      <c r="Z49" s="154">
        <f>+'NEW Summer CHP by DISC'!Z49/15</f>
        <v>0</v>
      </c>
      <c r="AA49" s="154">
        <f>+'NEW Summer CHP by DISC'!AA49/15</f>
        <v>3.2</v>
      </c>
      <c r="AB49" s="154">
        <f>+'NEW Summer CHP by DISC'!AB49/12</f>
        <v>0</v>
      </c>
      <c r="AC49" s="154">
        <f t="shared" si="37"/>
        <v>3.2</v>
      </c>
      <c r="AD49" s="567">
        <f t="shared" si="38"/>
        <v>0.33333333333333348</v>
      </c>
      <c r="AE49" s="328"/>
      <c r="AF49" s="328"/>
      <c r="AG49" s="328"/>
      <c r="AH49" s="328"/>
      <c r="AI49" s="328"/>
      <c r="AJ49" s="328"/>
      <c r="AK49" s="328"/>
      <c r="AL49" s="328"/>
      <c r="AM49" s="328"/>
      <c r="AN49" s="328"/>
      <c r="AO49" s="328"/>
      <c r="AP49" s="328"/>
      <c r="AQ49" s="328"/>
    </row>
    <row r="50" spans="1:43" x14ac:dyDescent="0.25">
      <c r="A50" s="566" t="s">
        <v>982</v>
      </c>
      <c r="B50" s="154">
        <f>+'NEW Summer CHP by DISC'!B50/15</f>
        <v>0.8</v>
      </c>
      <c r="C50" s="154">
        <f>+'NEW Summer CHP by DISC'!C50/15</f>
        <v>7.2</v>
      </c>
      <c r="D50" s="154">
        <f>+'NEW Summer CHP by DISC'!D50/12</f>
        <v>0</v>
      </c>
      <c r="E50" s="331">
        <f t="shared" si="28"/>
        <v>8</v>
      </c>
      <c r="F50" s="154">
        <f>+'NEW Summer CHP by DISC'!F50/15</f>
        <v>0</v>
      </c>
      <c r="G50" s="154">
        <f>+'NEW Summer CHP by DISC'!G50/15</f>
        <v>2.4</v>
      </c>
      <c r="H50" s="154">
        <f>+'NEW Summer CHP by DISC'!H50/12</f>
        <v>0</v>
      </c>
      <c r="I50" s="154">
        <f t="shared" si="29"/>
        <v>2.4</v>
      </c>
      <c r="J50" s="155">
        <f t="shared" si="30"/>
        <v>-0.7</v>
      </c>
      <c r="K50" s="154">
        <f>+'NEW Summer CHP by DISC'!K50/15</f>
        <v>0</v>
      </c>
      <c r="L50" s="154">
        <f>+'NEW Summer CHP by DISC'!L50/15</f>
        <v>1.2</v>
      </c>
      <c r="M50" s="154">
        <f>+'NEW Summer CHP by DISC'!M50/12</f>
        <v>0</v>
      </c>
      <c r="N50" s="1209">
        <f t="shared" si="31"/>
        <v>1.2</v>
      </c>
      <c r="O50" s="155">
        <f t="shared" si="32"/>
        <v>-0.5</v>
      </c>
      <c r="P50" s="154">
        <f>+'NEW Summer CHP by DISC'!P50/15</f>
        <v>0</v>
      </c>
      <c r="Q50" s="154">
        <f>+'NEW Summer CHP by DISC'!Q50/15</f>
        <v>6.666666666666667</v>
      </c>
      <c r="R50" s="154">
        <f>+'NEW Summer CHP by DISC'!R50/12</f>
        <v>0</v>
      </c>
      <c r="S50" s="154">
        <f t="shared" si="33"/>
        <v>6.666666666666667</v>
      </c>
      <c r="T50" s="155">
        <f t="shared" si="34"/>
        <v>4.5555555555555562</v>
      </c>
      <c r="U50" s="154">
        <f>+'NEW Summer CHP by DISC'!U50/15</f>
        <v>0.2</v>
      </c>
      <c r="V50" s="154">
        <f>+'NEW Summer CHP by DISC'!V50/15</f>
        <v>4.4666666666666668</v>
      </c>
      <c r="W50" s="154">
        <f>+'NEW Summer CHP by DISC'!W50/12</f>
        <v>0</v>
      </c>
      <c r="X50" s="154">
        <f t="shared" si="35"/>
        <v>4.666666666666667</v>
      </c>
      <c r="Y50" s="155">
        <f t="shared" si="36"/>
        <v>-0.3</v>
      </c>
      <c r="Z50" s="154">
        <f>+'NEW Summer CHP by DISC'!Z50/15</f>
        <v>0</v>
      </c>
      <c r="AA50" s="154">
        <f>+'NEW Summer CHP by DISC'!AA50/15</f>
        <v>6.6</v>
      </c>
      <c r="AB50" s="154">
        <f>+'NEW Summer CHP by DISC'!AB50/12</f>
        <v>0</v>
      </c>
      <c r="AC50" s="154">
        <f t="shared" si="37"/>
        <v>6.6</v>
      </c>
      <c r="AD50" s="567">
        <f t="shared" si="38"/>
        <v>0.41428571428571415</v>
      </c>
      <c r="AE50" s="328"/>
      <c r="AF50" s="328"/>
      <c r="AG50" s="328"/>
      <c r="AH50" s="328"/>
      <c r="AI50" s="328"/>
      <c r="AJ50" s="328"/>
      <c r="AK50" s="328"/>
      <c r="AL50" s="328"/>
      <c r="AM50" s="328"/>
      <c r="AN50" s="328"/>
      <c r="AO50" s="328"/>
      <c r="AP50" s="328"/>
      <c r="AQ50" s="328"/>
    </row>
    <row r="51" spans="1:43" x14ac:dyDescent="0.25">
      <c r="A51" s="967" t="s">
        <v>981</v>
      </c>
      <c r="B51" s="154">
        <v>0</v>
      </c>
      <c r="C51" s="154">
        <v>0</v>
      </c>
      <c r="D51" s="154">
        <v>0</v>
      </c>
      <c r="E51" s="331">
        <f t="shared" si="28"/>
        <v>0</v>
      </c>
      <c r="F51" s="154">
        <f>+'NEW Summer CHP by DISC'!F51/15</f>
        <v>0</v>
      </c>
      <c r="G51" s="154">
        <f>+'NEW Summer CHP by DISC'!G51/15</f>
        <v>0.13333333333333333</v>
      </c>
      <c r="H51" s="154">
        <f>+'NEW Summer CHP by DISC'!H51/12</f>
        <v>0</v>
      </c>
      <c r="I51" s="154">
        <f t="shared" si="29"/>
        <v>0.13333333333333333</v>
      </c>
      <c r="J51" s="155">
        <f>IF(E51&gt;0,(I51-E51)/E51,(IF(I51=0,"N/A",100%)))</f>
        <v>1</v>
      </c>
      <c r="K51" s="154">
        <f>+'NEW Summer CHP by DISC'!K51/15</f>
        <v>0</v>
      </c>
      <c r="L51" s="154">
        <f>+'NEW Summer CHP by DISC'!L51/15</f>
        <v>0</v>
      </c>
      <c r="M51" s="154">
        <f>+'NEW Summer CHP by DISC'!M51/12</f>
        <v>0</v>
      </c>
      <c r="N51" s="1209">
        <f t="shared" si="31"/>
        <v>0</v>
      </c>
      <c r="O51" s="155">
        <f t="shared" si="32"/>
        <v>-1</v>
      </c>
      <c r="P51" s="154">
        <f>+'NEW Summer CHP by DISC'!P51/15</f>
        <v>0</v>
      </c>
      <c r="Q51" s="154">
        <f>+'NEW Summer CHP by DISC'!Q51/15</f>
        <v>0</v>
      </c>
      <c r="R51" s="154">
        <f>+'NEW Summer CHP by DISC'!R51/12</f>
        <v>0</v>
      </c>
      <c r="S51" s="154">
        <f t="shared" si="33"/>
        <v>0</v>
      </c>
      <c r="T51" s="155" t="str">
        <f>IF(N51&gt;0,(S51-N51)/N51,(IF(S51=0,"N/A",100%)))</f>
        <v>N/A</v>
      </c>
      <c r="U51" s="154">
        <f>+'NEW Summer CHP by DISC'!U51/15</f>
        <v>0</v>
      </c>
      <c r="V51" s="154">
        <f>+'NEW Summer CHP by DISC'!V51/15</f>
        <v>0.26666666666666666</v>
      </c>
      <c r="W51" s="154">
        <f>+'NEW Summer CHP by DISC'!W51/12</f>
        <v>0</v>
      </c>
      <c r="X51" s="154">
        <f t="shared" si="35"/>
        <v>0.26666666666666666</v>
      </c>
      <c r="Y51" s="155">
        <f>IF(S51&gt;0,(X51-S51)/S51,(IF(X51=0,"N/A",100%)))</f>
        <v>1</v>
      </c>
      <c r="Z51" s="154">
        <f>+'NEW Summer CHP by DISC'!Z51/15</f>
        <v>0</v>
      </c>
      <c r="AA51" s="154">
        <f>+'NEW Summer CHP by DISC'!AA51/15</f>
        <v>0</v>
      </c>
      <c r="AB51" s="154">
        <f>+'NEW Summer CHP by DISC'!AB51/12</f>
        <v>0</v>
      </c>
      <c r="AC51" s="154">
        <f t="shared" si="37"/>
        <v>0</v>
      </c>
      <c r="AD51" s="567">
        <f>IF(X51&gt;0,(AC51-X51)/X51,(IF(AC51=0,"N/A",100%)))</f>
        <v>-1</v>
      </c>
      <c r="AE51" s="328"/>
      <c r="AF51" s="328"/>
      <c r="AG51" s="328"/>
      <c r="AH51" s="328"/>
      <c r="AI51" s="328"/>
      <c r="AJ51" s="328"/>
      <c r="AK51" s="328"/>
      <c r="AL51" s="328"/>
      <c r="AM51" s="328"/>
      <c r="AN51" s="328"/>
      <c r="AO51" s="328"/>
      <c r="AP51" s="328"/>
      <c r="AQ51" s="328"/>
    </row>
    <row r="52" spans="1:43" x14ac:dyDescent="0.25">
      <c r="A52" s="566" t="s">
        <v>985</v>
      </c>
      <c r="B52" s="154">
        <f>+'NEW Summer CHP by DISC'!B52/15</f>
        <v>3.2</v>
      </c>
      <c r="C52" s="154">
        <f>+'NEW Summer CHP by DISC'!C52/15</f>
        <v>0</v>
      </c>
      <c r="D52" s="154">
        <f>+'NEW Summer CHP by DISC'!D52/12</f>
        <v>0</v>
      </c>
      <c r="E52" s="331">
        <f t="shared" si="28"/>
        <v>3.2</v>
      </c>
      <c r="F52" s="154">
        <f>+'NEW Summer CHP by DISC'!F52/15</f>
        <v>2</v>
      </c>
      <c r="G52" s="154">
        <f>+'NEW Summer CHP by DISC'!G52/15</f>
        <v>0</v>
      </c>
      <c r="H52" s="154">
        <f>+'NEW Summer CHP by DISC'!H52/12</f>
        <v>0</v>
      </c>
      <c r="I52" s="154">
        <f t="shared" si="29"/>
        <v>2</v>
      </c>
      <c r="J52" s="155">
        <f t="shared" si="30"/>
        <v>-0.37500000000000006</v>
      </c>
      <c r="K52" s="154">
        <f>+'NEW Summer CHP by DISC'!K52/15</f>
        <v>2.6</v>
      </c>
      <c r="L52" s="154">
        <f>+'NEW Summer CHP by DISC'!L52/15</f>
        <v>0</v>
      </c>
      <c r="M52" s="154">
        <f>+'NEW Summer CHP by DISC'!M52/12</f>
        <v>0</v>
      </c>
      <c r="N52" s="1209">
        <f t="shared" si="31"/>
        <v>2.6</v>
      </c>
      <c r="O52" s="155">
        <f t="shared" si="32"/>
        <v>0.30000000000000004</v>
      </c>
      <c r="P52" s="154">
        <f>+'NEW Summer CHP by DISC'!P52/15</f>
        <v>3.4</v>
      </c>
      <c r="Q52" s="154">
        <f>+'NEW Summer CHP by DISC'!Q52/15</f>
        <v>0</v>
      </c>
      <c r="R52" s="154">
        <f>+'NEW Summer CHP by DISC'!R52/12</f>
        <v>0</v>
      </c>
      <c r="S52" s="154">
        <f t="shared" si="33"/>
        <v>3.4</v>
      </c>
      <c r="T52" s="155">
        <f t="shared" si="34"/>
        <v>0.3076923076923076</v>
      </c>
      <c r="U52" s="154">
        <f>+'NEW Summer CHP by DISC'!U52/15</f>
        <v>1.4</v>
      </c>
      <c r="V52" s="154">
        <f>+'NEW Summer CHP by DISC'!V52/15</f>
        <v>0</v>
      </c>
      <c r="W52" s="154">
        <f>+'NEW Summer CHP by DISC'!W52/12</f>
        <v>0</v>
      </c>
      <c r="X52" s="154">
        <f t="shared" si="35"/>
        <v>1.4</v>
      </c>
      <c r="Y52" s="155">
        <f t="shared" si="36"/>
        <v>-0.58823529411764708</v>
      </c>
      <c r="Z52" s="154">
        <f>+'NEW Summer CHP by DISC'!Z52/15</f>
        <v>2.2000000000000002</v>
      </c>
      <c r="AA52" s="154">
        <f>+'NEW Summer CHP by DISC'!AA52/15</f>
        <v>0</v>
      </c>
      <c r="AB52" s="154">
        <f>+'NEW Summer CHP by DISC'!AB52/12</f>
        <v>0</v>
      </c>
      <c r="AC52" s="154">
        <f t="shared" si="37"/>
        <v>2.2000000000000002</v>
      </c>
      <c r="AD52" s="567">
        <f t="shared" ref="AD52:AD54" si="39">IF(X52&gt;0,(AC52-X52)/X52,(IF(AC52=0,"N/A",100%)))</f>
        <v>0.57142857142857162</v>
      </c>
      <c r="AE52" s="328"/>
      <c r="AF52" s="328"/>
      <c r="AG52" s="328"/>
      <c r="AH52" s="328"/>
      <c r="AI52" s="328"/>
      <c r="AJ52" s="328"/>
      <c r="AK52" s="328"/>
      <c r="AL52" s="328"/>
      <c r="AM52" s="328"/>
      <c r="AN52" s="328"/>
      <c r="AO52" s="328"/>
      <c r="AP52" s="328"/>
      <c r="AQ52" s="328"/>
    </row>
    <row r="53" spans="1:43" x14ac:dyDescent="0.25">
      <c r="A53" s="968" t="s">
        <v>986</v>
      </c>
      <c r="B53" s="154">
        <f>+'NEW Summer CHP by DISC'!B53/15</f>
        <v>0.53333333333333333</v>
      </c>
      <c r="C53" s="154">
        <f>+'NEW Summer CHP by DISC'!C53/15</f>
        <v>0</v>
      </c>
      <c r="D53" s="154">
        <f>+'NEW Summer CHP by DISC'!D53/12</f>
        <v>0</v>
      </c>
      <c r="E53" s="331">
        <f t="shared" si="28"/>
        <v>0.53333333333333333</v>
      </c>
      <c r="F53" s="154">
        <f>+'NEW Summer CHP by DISC'!F53/15</f>
        <v>0</v>
      </c>
      <c r="G53" s="154">
        <f>+'NEW Summer CHP by DISC'!G53/15</f>
        <v>2.2000000000000002</v>
      </c>
      <c r="H53" s="154">
        <f>+'NEW Summer CHP by DISC'!H53/12</f>
        <v>0</v>
      </c>
      <c r="I53" s="154">
        <f t="shared" si="29"/>
        <v>2.2000000000000002</v>
      </c>
      <c r="J53" s="155">
        <f t="shared" si="30"/>
        <v>3.1250000000000004</v>
      </c>
      <c r="K53" s="154">
        <f>+'NEW Summer CHP by DISC'!K53/15</f>
        <v>0</v>
      </c>
      <c r="L53" s="154">
        <f>+'NEW Summer CHP by DISC'!L53/15</f>
        <v>0</v>
      </c>
      <c r="M53" s="154">
        <f>+'NEW Summer CHP by DISC'!M53/12</f>
        <v>0</v>
      </c>
      <c r="N53" s="1209">
        <f t="shared" si="31"/>
        <v>0</v>
      </c>
      <c r="O53" s="155">
        <f t="shared" si="32"/>
        <v>-1</v>
      </c>
      <c r="P53" s="154">
        <f>+'NEW Summer CHP by DISC'!P53/15</f>
        <v>0</v>
      </c>
      <c r="Q53" s="154">
        <f>+'NEW Summer CHP by DISC'!Q53/15</f>
        <v>0.8</v>
      </c>
      <c r="R53" s="154">
        <f>+'NEW Summer CHP by DISC'!R53/12</f>
        <v>0</v>
      </c>
      <c r="S53" s="154">
        <f t="shared" si="33"/>
        <v>0.8</v>
      </c>
      <c r="T53" s="155">
        <f t="shared" si="34"/>
        <v>1</v>
      </c>
      <c r="U53" s="154">
        <f>+'NEW Summer CHP by DISC'!U53/15</f>
        <v>0</v>
      </c>
      <c r="V53" s="154">
        <f>+'NEW Summer CHP by DISC'!V53/15</f>
        <v>0.4</v>
      </c>
      <c r="W53" s="154">
        <f>+'NEW Summer CHP by DISC'!W53/12</f>
        <v>0</v>
      </c>
      <c r="X53" s="154">
        <f t="shared" si="35"/>
        <v>0.4</v>
      </c>
      <c r="Y53" s="155">
        <f t="shared" si="36"/>
        <v>-0.5</v>
      </c>
      <c r="Z53" s="154">
        <f>+'NEW Summer CHP by DISC'!Z53/15</f>
        <v>0</v>
      </c>
      <c r="AA53" s="154">
        <f>+'NEW Summer CHP by DISC'!AA53/15</f>
        <v>1.2</v>
      </c>
      <c r="AB53" s="154">
        <f>+'NEW Summer CHP by DISC'!AB53/12</f>
        <v>0</v>
      </c>
      <c r="AC53" s="154">
        <f t="shared" si="37"/>
        <v>1.2</v>
      </c>
      <c r="AD53" s="567">
        <f t="shared" si="39"/>
        <v>1.9999999999999998</v>
      </c>
      <c r="AE53" s="328"/>
      <c r="AF53" s="328"/>
      <c r="AG53" s="328"/>
      <c r="AH53" s="328"/>
      <c r="AI53" s="328"/>
      <c r="AJ53" s="328"/>
      <c r="AK53" s="328"/>
      <c r="AL53" s="328"/>
      <c r="AM53" s="328"/>
      <c r="AN53" s="328"/>
      <c r="AO53" s="328"/>
      <c r="AP53" s="328"/>
      <c r="AQ53" s="328"/>
    </row>
    <row r="54" spans="1:43" s="575" customFormat="1" ht="13.8" x14ac:dyDescent="0.25">
      <c r="A54" s="1165" t="s">
        <v>961</v>
      </c>
      <c r="B54" s="611">
        <f t="shared" ref="B54:I54" si="40">SUM(B48:B53)</f>
        <v>5.9333333333333336</v>
      </c>
      <c r="C54" s="611">
        <f t="shared" si="40"/>
        <v>9.1999999999999993</v>
      </c>
      <c r="D54" s="611">
        <f t="shared" si="40"/>
        <v>0</v>
      </c>
      <c r="E54" s="612">
        <f t="shared" si="40"/>
        <v>15.133333333333335</v>
      </c>
      <c r="F54" s="611">
        <f t="shared" si="40"/>
        <v>2.6</v>
      </c>
      <c r="G54" s="611">
        <f t="shared" si="40"/>
        <v>6.3333333333333339</v>
      </c>
      <c r="H54" s="611">
        <f t="shared" si="40"/>
        <v>0</v>
      </c>
      <c r="I54" s="611">
        <f t="shared" si="40"/>
        <v>8.9333333333333336</v>
      </c>
      <c r="J54" s="613">
        <f t="shared" si="30"/>
        <v>-0.40969162995594716</v>
      </c>
      <c r="K54" s="611">
        <f t="shared" ref="K54:S54" si="41">SUM(K48:K53)</f>
        <v>4</v>
      </c>
      <c r="L54" s="611">
        <f t="shared" si="41"/>
        <v>3.2</v>
      </c>
      <c r="M54" s="611">
        <f t="shared" si="41"/>
        <v>0</v>
      </c>
      <c r="N54" s="586">
        <f t="shared" si="41"/>
        <v>7.1999999999999993</v>
      </c>
      <c r="O54" s="613">
        <f t="shared" si="32"/>
        <v>-0.19402985074626874</v>
      </c>
      <c r="P54" s="611">
        <f t="shared" si="41"/>
        <v>3.4</v>
      </c>
      <c r="Q54" s="611">
        <f t="shared" si="41"/>
        <v>9.0666666666666682</v>
      </c>
      <c r="R54" s="611">
        <f t="shared" si="41"/>
        <v>0</v>
      </c>
      <c r="S54" s="611">
        <f t="shared" si="41"/>
        <v>12.466666666666669</v>
      </c>
      <c r="T54" s="613">
        <f t="shared" si="34"/>
        <v>0.73148148148148195</v>
      </c>
      <c r="U54" s="611">
        <f>SUM(U48:U53)</f>
        <v>3</v>
      </c>
      <c r="V54" s="611">
        <f>SUM(V48:V53)</f>
        <v>6.1333333333333337</v>
      </c>
      <c r="W54" s="611">
        <f>SUM(W48:W53)</f>
        <v>0</v>
      </c>
      <c r="X54" s="611">
        <f>SUM(X48:X53)</f>
        <v>9.1333333333333329</v>
      </c>
      <c r="Y54" s="613">
        <f t="shared" si="36"/>
        <v>-0.26737967914438515</v>
      </c>
      <c r="Z54" s="611">
        <f>SUM(Z48:Z53)</f>
        <v>2.2000000000000002</v>
      </c>
      <c r="AA54" s="611">
        <f>SUM(AA48:AA53)</f>
        <v>11</v>
      </c>
      <c r="AB54" s="611">
        <f>SUM(AB48:AB53)</f>
        <v>0</v>
      </c>
      <c r="AC54" s="611">
        <f>SUM(AC48:AC53)</f>
        <v>13.2</v>
      </c>
      <c r="AD54" s="614">
        <f t="shared" si="39"/>
        <v>0.44525547445255476</v>
      </c>
    </row>
    <row r="55" spans="1:43" x14ac:dyDescent="0.25">
      <c r="A55" s="576" t="s">
        <v>413</v>
      </c>
      <c r="B55" s="151"/>
      <c r="C55" s="152"/>
      <c r="D55" s="152"/>
      <c r="E55" s="330"/>
      <c r="F55" s="151"/>
      <c r="G55" s="152"/>
      <c r="H55" s="152"/>
      <c r="I55" s="152"/>
      <c r="J55" s="153"/>
      <c r="K55" s="151"/>
      <c r="L55" s="152"/>
      <c r="M55" s="152"/>
      <c r="N55" s="1208"/>
      <c r="O55" s="153"/>
      <c r="P55" s="151"/>
      <c r="Q55" s="152"/>
      <c r="R55" s="152"/>
      <c r="S55" s="152"/>
      <c r="T55" s="153"/>
      <c r="U55" s="151"/>
      <c r="V55" s="152"/>
      <c r="W55" s="152"/>
      <c r="X55" s="152"/>
      <c r="Y55" s="153"/>
      <c r="Z55" s="151"/>
      <c r="AA55" s="152"/>
      <c r="AB55" s="152"/>
      <c r="AC55" s="152"/>
      <c r="AD55" s="565"/>
      <c r="AE55" s="328"/>
      <c r="AF55" s="328"/>
      <c r="AG55" s="328"/>
      <c r="AH55" s="328"/>
      <c r="AI55" s="328"/>
      <c r="AJ55" s="328"/>
      <c r="AK55" s="328"/>
      <c r="AL55" s="328"/>
      <c r="AM55" s="328"/>
      <c r="AN55" s="328"/>
      <c r="AO55" s="328"/>
      <c r="AP55" s="328"/>
      <c r="AQ55" s="328"/>
    </row>
    <row r="56" spans="1:43" x14ac:dyDescent="0.25">
      <c r="A56" s="566" t="s">
        <v>983</v>
      </c>
      <c r="B56" s="154">
        <f>+'NEW Summer CHP by DISC'!B56/15</f>
        <v>0</v>
      </c>
      <c r="C56" s="154">
        <f>+'NEW Summer CHP by DISC'!C56/15</f>
        <v>6.6666666666666666E-2</v>
      </c>
      <c r="D56" s="154">
        <f>+'NEW Summer CHP by DISC'!D56/12</f>
        <v>0</v>
      </c>
      <c r="E56" s="331">
        <f>SUM(B56:D56)</f>
        <v>6.6666666666666666E-2</v>
      </c>
      <c r="F56" s="154">
        <f>+'NEW Summer CHP by DISC'!F56/15</f>
        <v>6.6666666666666666E-2</v>
      </c>
      <c r="G56" s="154">
        <f>+'NEW Summer CHP by DISC'!G56/15</f>
        <v>0</v>
      </c>
      <c r="H56" s="154">
        <f>+'NEW Summer CHP by DISC'!H56/12</f>
        <v>0</v>
      </c>
      <c r="I56" s="154">
        <f>SUM(F56:H56)</f>
        <v>6.6666666666666666E-2</v>
      </c>
      <c r="J56" s="155">
        <f>IF(E56&gt;0,(I56-E56)/E56,(IF(I56=0,"N/A",100%)))</f>
        <v>0</v>
      </c>
      <c r="K56" s="154">
        <f>+'NEW Summer CHP by DISC'!K56/15</f>
        <v>0</v>
      </c>
      <c r="L56" s="154">
        <f>+'NEW Summer CHP by DISC'!L56/15</f>
        <v>0</v>
      </c>
      <c r="M56" s="154">
        <f>+'NEW Summer CHP by DISC'!M56/12</f>
        <v>0</v>
      </c>
      <c r="N56" s="1209">
        <f>SUM(K56:M56)</f>
        <v>0</v>
      </c>
      <c r="O56" s="155">
        <f>IF(I56&gt;0,(N56-I56)/I56,(IF(N56=0,"N/A",100%)))</f>
        <v>-1</v>
      </c>
      <c r="P56" s="154">
        <f>+'NEW Summer CHP by DISC'!P56/15</f>
        <v>0.13333333333333333</v>
      </c>
      <c r="Q56" s="154">
        <f>+'NEW Summer CHP by DISC'!Q56/15</f>
        <v>6.6666666666666666E-2</v>
      </c>
      <c r="R56" s="154">
        <f>+'NEW Summer CHP by DISC'!R56/12</f>
        <v>0</v>
      </c>
      <c r="S56" s="154">
        <f>SUM(P56:R56)</f>
        <v>0.2</v>
      </c>
      <c r="T56" s="155">
        <f>IF(N56&gt;0,(S56-N56)/N56,(IF(S56=0,"N/A",100%)))</f>
        <v>1</v>
      </c>
      <c r="U56" s="154">
        <f>+'NEW Summer CHP by DISC'!U56/15</f>
        <v>6.6666666666666666E-2</v>
      </c>
      <c r="V56" s="154">
        <f>+'NEW Summer CHP by DISC'!V56/15</f>
        <v>6.6666666666666666E-2</v>
      </c>
      <c r="W56" s="154">
        <f>+'NEW Summer CHP by DISC'!W56/12</f>
        <v>0</v>
      </c>
      <c r="X56" s="154">
        <f>SUM(U56:W56)</f>
        <v>0.13333333333333333</v>
      </c>
      <c r="Y56" s="155">
        <f>IF(S56&gt;0,(X56-S56)/S56,(IF(X56=0,"N/A",100%)))</f>
        <v>-0.33333333333333337</v>
      </c>
      <c r="Z56" s="154">
        <f>+'NEW Summer CHP by DISC'!Z56/15</f>
        <v>0</v>
      </c>
      <c r="AA56" s="154">
        <f>+'NEW Summer CHP by DISC'!AA56/15</f>
        <v>0</v>
      </c>
      <c r="AB56" s="154">
        <f>+'NEW Summer CHP by DISC'!AB56/12</f>
        <v>0</v>
      </c>
      <c r="AC56" s="154">
        <f>SUM(Z56:AB56)</f>
        <v>0</v>
      </c>
      <c r="AD56" s="567">
        <f>IF(X56&gt;0,(AC56-X56)/X56,(IF(AC56=0,"N/A",100%)))</f>
        <v>-1</v>
      </c>
      <c r="AE56" s="328"/>
      <c r="AF56" s="328"/>
      <c r="AG56" s="328"/>
      <c r="AH56" s="328"/>
      <c r="AI56" s="328"/>
      <c r="AJ56" s="328"/>
      <c r="AK56" s="328"/>
      <c r="AL56" s="328"/>
      <c r="AM56" s="328"/>
      <c r="AN56" s="328"/>
      <c r="AO56" s="328"/>
      <c r="AP56" s="328"/>
      <c r="AQ56" s="328"/>
    </row>
    <row r="57" spans="1:43" x14ac:dyDescent="0.25">
      <c r="A57" s="566" t="s">
        <v>984</v>
      </c>
      <c r="B57" s="154">
        <f>+'NEW Summer CHP by DISC'!B57/15</f>
        <v>6.2</v>
      </c>
      <c r="C57" s="154">
        <f>+'NEW Summer CHP by DISC'!C57/15</f>
        <v>0.4</v>
      </c>
      <c r="D57" s="154">
        <f>+'NEW Summer CHP by DISC'!D57/12</f>
        <v>0</v>
      </c>
      <c r="E57" s="331">
        <f>SUM(B57:D57)</f>
        <v>6.6000000000000005</v>
      </c>
      <c r="F57" s="154">
        <f>+'NEW Summer CHP by DISC'!F57/15</f>
        <v>2.4</v>
      </c>
      <c r="G57" s="154">
        <f>+'NEW Summer CHP by DISC'!G57/15</f>
        <v>0</v>
      </c>
      <c r="H57" s="154">
        <f>+'NEW Summer CHP by DISC'!H57/12</f>
        <v>0</v>
      </c>
      <c r="I57" s="154">
        <f>SUM(F57:H57)</f>
        <v>2.4</v>
      </c>
      <c r="J57" s="155">
        <f>IF(E57&gt;0,(I57-E57)/E57,(IF(I57=0,"N/A",100%)))</f>
        <v>-0.63636363636363646</v>
      </c>
      <c r="K57" s="154">
        <f>+'NEW Summer CHP by DISC'!K57/15</f>
        <v>3</v>
      </c>
      <c r="L57" s="154">
        <f>+'NEW Summer CHP by DISC'!L57/15</f>
        <v>0</v>
      </c>
      <c r="M57" s="154">
        <f>+'NEW Summer CHP by DISC'!M57/12</f>
        <v>0</v>
      </c>
      <c r="N57" s="1209">
        <f>SUM(K57:M57)</f>
        <v>3</v>
      </c>
      <c r="O57" s="155">
        <f>IF(I57&gt;0,(N57-I57)/I57,(IF(N57=0,"N/A",100%)))</f>
        <v>0.25000000000000006</v>
      </c>
      <c r="P57" s="154">
        <f>+'NEW Summer CHP by DISC'!P57/15</f>
        <v>1.2</v>
      </c>
      <c r="Q57" s="154">
        <f>+'NEW Summer CHP by DISC'!Q57/15</f>
        <v>0.2</v>
      </c>
      <c r="R57" s="154">
        <f>+'NEW Summer CHP by DISC'!R57/12</f>
        <v>0</v>
      </c>
      <c r="S57" s="154">
        <f>SUM(P57:R57)</f>
        <v>1.4</v>
      </c>
      <c r="T57" s="155">
        <f>IF(N57&gt;0,(S57-N57)/N57,(IF(S57=0,"N/A",100%)))</f>
        <v>-0.53333333333333333</v>
      </c>
      <c r="U57" s="154">
        <f>+'NEW Summer CHP by DISC'!U57/15</f>
        <v>0.2</v>
      </c>
      <c r="V57" s="154">
        <f>+'NEW Summer CHP by DISC'!V57/15</f>
        <v>0.13333333333333333</v>
      </c>
      <c r="W57" s="154">
        <f>+'NEW Summer CHP by DISC'!W57/12</f>
        <v>0</v>
      </c>
      <c r="X57" s="154">
        <f>SUM(U57:W57)</f>
        <v>0.33333333333333337</v>
      </c>
      <c r="Y57" s="155">
        <f>IF(S57&gt;0,(X57-S57)/S57,(IF(X57=0,"N/A",100%)))</f>
        <v>-0.76190476190476175</v>
      </c>
      <c r="Z57" s="154">
        <f>+'NEW Summer CHP by DISC'!Z57/15</f>
        <v>3</v>
      </c>
      <c r="AA57" s="154">
        <f>+'NEW Summer CHP by DISC'!AA57/15</f>
        <v>0.2</v>
      </c>
      <c r="AB57" s="154">
        <f>+'NEW Summer CHP by DISC'!AB57/12</f>
        <v>0</v>
      </c>
      <c r="AC57" s="154">
        <f>SUM(Z57:AB57)</f>
        <v>3.2</v>
      </c>
      <c r="AD57" s="567">
        <f>IF(X57&gt;0,(AC57-X57)/X57,(IF(AC57=0,"N/A",100%)))</f>
        <v>8.6</v>
      </c>
      <c r="AE57" s="328"/>
      <c r="AF57" s="328"/>
      <c r="AG57" s="328"/>
      <c r="AH57" s="328"/>
      <c r="AI57" s="328"/>
      <c r="AJ57" s="328"/>
      <c r="AK57" s="328"/>
      <c r="AL57" s="328"/>
      <c r="AM57" s="328"/>
      <c r="AN57" s="328"/>
      <c r="AO57" s="328"/>
      <c r="AP57" s="328"/>
      <c r="AQ57" s="328"/>
    </row>
    <row r="58" spans="1:43" x14ac:dyDescent="0.25">
      <c r="A58" s="869" t="s">
        <v>1518</v>
      </c>
      <c r="B58" s="154">
        <f>+'NEW Summer CHP by DISC'!B58/15</f>
        <v>0</v>
      </c>
      <c r="C58" s="154">
        <f>+'NEW Summer CHP by DISC'!C58/15</f>
        <v>0</v>
      </c>
      <c r="D58" s="154">
        <f>+'NEW Summer CHP by DISC'!D58/12</f>
        <v>0</v>
      </c>
      <c r="E58" s="331">
        <f t="shared" ref="E58:E60" si="42">SUM(B58:D58)</f>
        <v>0</v>
      </c>
      <c r="F58" s="154">
        <f>+'NEW Summer CHP by DISC'!F58/15</f>
        <v>0</v>
      </c>
      <c r="G58" s="154">
        <f>+'NEW Summer CHP by DISC'!G58/15</f>
        <v>0</v>
      </c>
      <c r="H58" s="154">
        <f>+'NEW Summer CHP by DISC'!H58/12</f>
        <v>0</v>
      </c>
      <c r="I58" s="154">
        <f t="shared" ref="I58:I60" si="43">SUM(F58:H58)</f>
        <v>0</v>
      </c>
      <c r="J58" s="155" t="str">
        <f t="shared" ref="J58:J60" si="44">IF(E58&gt;0,(I58-E58)/E58,(IF(I58=0,"N/A",100%)))</f>
        <v>N/A</v>
      </c>
      <c r="K58" s="154">
        <f>+'NEW Summer CHP by DISC'!K58/15</f>
        <v>0</v>
      </c>
      <c r="L58" s="154">
        <f>+'NEW Summer CHP by DISC'!L58/15</f>
        <v>0</v>
      </c>
      <c r="M58" s="154">
        <f>+'NEW Summer CHP by DISC'!M58/12</f>
        <v>0</v>
      </c>
      <c r="N58" s="1209">
        <f t="shared" ref="N58:N60" si="45">SUM(K58:M58)</f>
        <v>0</v>
      </c>
      <c r="O58" s="155" t="str">
        <f t="shared" ref="O58:O60" si="46">IF(I58&gt;0,(N58-I58)/I58,(IF(N58=0,"N/A",100%)))</f>
        <v>N/A</v>
      </c>
      <c r="P58" s="154">
        <f>+'NEW Summer CHP by DISC'!P58/15</f>
        <v>0</v>
      </c>
      <c r="Q58" s="154">
        <f>+'NEW Summer CHP by DISC'!Q58/15</f>
        <v>0</v>
      </c>
      <c r="R58" s="154">
        <f>+'NEW Summer CHP by DISC'!R58/12</f>
        <v>0</v>
      </c>
      <c r="S58" s="154">
        <f t="shared" ref="S58:S60" si="47">SUM(P58:R58)</f>
        <v>0</v>
      </c>
      <c r="T58" s="155" t="str">
        <f t="shared" ref="T58:T60" si="48">IF(N58&gt;0,(S58-N58)/N58,(IF(S58=0,"N/A",100%)))</f>
        <v>N/A</v>
      </c>
      <c r="U58" s="154">
        <f>+'NEW Summer CHP by DISC'!U58/15</f>
        <v>0</v>
      </c>
      <c r="V58" s="154">
        <f>+'NEW Summer CHP by DISC'!V58/15</f>
        <v>0</v>
      </c>
      <c r="W58" s="154">
        <f>+'NEW Summer CHP by DISC'!W58/12</f>
        <v>0</v>
      </c>
      <c r="X58" s="154">
        <f t="shared" ref="X58:X60" si="49">SUM(U58:W58)</f>
        <v>0</v>
      </c>
      <c r="Y58" s="155" t="str">
        <f t="shared" ref="Y58:Y60" si="50">IF(S58&gt;0,(X58-S58)/S58,(IF(X58=0,"N/A",100%)))</f>
        <v>N/A</v>
      </c>
      <c r="Z58" s="154">
        <f>+'NEW Summer CHP by DISC'!Z58/15</f>
        <v>0</v>
      </c>
      <c r="AA58" s="154">
        <f>+'NEW Summer CHP by DISC'!AA58/15</f>
        <v>0</v>
      </c>
      <c r="AB58" s="154">
        <f>+'NEW Summer CHP by DISC'!AB58/12</f>
        <v>0</v>
      </c>
      <c r="AC58" s="154">
        <f t="shared" ref="AC58:AC60" si="51">SUM(Z58:AB58)</f>
        <v>0</v>
      </c>
      <c r="AD58" s="567" t="str">
        <f t="shared" ref="AD58:AD60" si="52">IF(X58&gt;0,(AC58-X58)/X58,(IF(AC58=0,"N/A",100%)))</f>
        <v>N/A</v>
      </c>
      <c r="AE58" s="328"/>
      <c r="AF58" s="328"/>
      <c r="AG58" s="328"/>
      <c r="AH58" s="328"/>
      <c r="AI58" s="328"/>
      <c r="AJ58" s="328"/>
      <c r="AK58" s="328"/>
      <c r="AL58" s="328"/>
      <c r="AM58" s="328"/>
      <c r="AN58" s="328"/>
      <c r="AO58" s="328"/>
      <c r="AP58" s="328"/>
      <c r="AQ58" s="328"/>
    </row>
    <row r="59" spans="1:43" x14ac:dyDescent="0.25">
      <c r="A59" s="869" t="s">
        <v>1519</v>
      </c>
      <c r="B59" s="154">
        <f>+'NEW Summer CHP by DISC'!B59/15</f>
        <v>0</v>
      </c>
      <c r="C59" s="154">
        <f>+'NEW Summer CHP by DISC'!C59/15</f>
        <v>0</v>
      </c>
      <c r="D59" s="154">
        <f>+'NEW Summer CHP by DISC'!D59/12</f>
        <v>0</v>
      </c>
      <c r="E59" s="331">
        <f t="shared" si="42"/>
        <v>0</v>
      </c>
      <c r="F59" s="154">
        <f>+'NEW Summer CHP by DISC'!F59/15</f>
        <v>0</v>
      </c>
      <c r="G59" s="154">
        <f>+'NEW Summer CHP by DISC'!G59/15</f>
        <v>0</v>
      </c>
      <c r="H59" s="154">
        <f>+'NEW Summer CHP by DISC'!H59/12</f>
        <v>0</v>
      </c>
      <c r="I59" s="154">
        <f t="shared" si="43"/>
        <v>0</v>
      </c>
      <c r="J59" s="155" t="str">
        <f t="shared" si="44"/>
        <v>N/A</v>
      </c>
      <c r="K59" s="154">
        <f>+'NEW Summer CHP by DISC'!K59/15</f>
        <v>0</v>
      </c>
      <c r="L59" s="154">
        <f>+'NEW Summer CHP by DISC'!L59/15</f>
        <v>0</v>
      </c>
      <c r="M59" s="154">
        <f>+'NEW Summer CHP by DISC'!M59/12</f>
        <v>0</v>
      </c>
      <c r="N59" s="1209">
        <f t="shared" si="45"/>
        <v>0</v>
      </c>
      <c r="O59" s="155" t="str">
        <f t="shared" si="46"/>
        <v>N/A</v>
      </c>
      <c r="P59" s="154">
        <f>+'NEW Summer CHP by DISC'!P59/15</f>
        <v>0</v>
      </c>
      <c r="Q59" s="154">
        <f>+'NEW Summer CHP by DISC'!Q59/15</f>
        <v>0</v>
      </c>
      <c r="R59" s="154">
        <f>+'NEW Summer CHP by DISC'!R59/12</f>
        <v>0</v>
      </c>
      <c r="S59" s="154">
        <f t="shared" si="47"/>
        <v>0</v>
      </c>
      <c r="T59" s="155" t="str">
        <f t="shared" si="48"/>
        <v>N/A</v>
      </c>
      <c r="U59" s="154">
        <f>+'NEW Summer CHP by DISC'!U59/15</f>
        <v>0</v>
      </c>
      <c r="V59" s="154">
        <f>+'NEW Summer CHP by DISC'!V59/15</f>
        <v>0</v>
      </c>
      <c r="W59" s="154">
        <f>+'NEW Summer CHP by DISC'!W59/12</f>
        <v>0</v>
      </c>
      <c r="X59" s="154">
        <f t="shared" si="49"/>
        <v>0</v>
      </c>
      <c r="Y59" s="155" t="str">
        <f t="shared" si="50"/>
        <v>N/A</v>
      </c>
      <c r="Z59" s="154">
        <f>+'NEW Summer CHP by DISC'!Z59/15</f>
        <v>0</v>
      </c>
      <c r="AA59" s="154">
        <f>+'NEW Summer CHP by DISC'!AA59/15</f>
        <v>0.13333333333333333</v>
      </c>
      <c r="AB59" s="154">
        <f>+'NEW Summer CHP by DISC'!AB59/12</f>
        <v>0</v>
      </c>
      <c r="AC59" s="154">
        <f t="shared" si="51"/>
        <v>0.13333333333333333</v>
      </c>
      <c r="AD59" s="567">
        <f t="shared" si="52"/>
        <v>1</v>
      </c>
      <c r="AE59" s="328"/>
      <c r="AF59" s="328"/>
      <c r="AG59" s="328"/>
      <c r="AH59" s="328"/>
      <c r="AI59" s="328"/>
      <c r="AJ59" s="328"/>
      <c r="AK59" s="328"/>
      <c r="AL59" s="328"/>
      <c r="AM59" s="328"/>
      <c r="AN59" s="328"/>
      <c r="AO59" s="328"/>
      <c r="AP59" s="328"/>
      <c r="AQ59" s="328"/>
    </row>
    <row r="60" spans="1:43" x14ac:dyDescent="0.25">
      <c r="A60" s="869" t="s">
        <v>1520</v>
      </c>
      <c r="B60" s="154">
        <f>+'NEW Summer CHP by DISC'!B60/15</f>
        <v>0</v>
      </c>
      <c r="C60" s="154">
        <f>+'NEW Summer CHP by DISC'!C60/15</f>
        <v>0</v>
      </c>
      <c r="D60" s="154">
        <f>+'NEW Summer CHP by DISC'!D60/12</f>
        <v>0</v>
      </c>
      <c r="E60" s="331">
        <f t="shared" si="42"/>
        <v>0</v>
      </c>
      <c r="F60" s="154">
        <f>+'NEW Summer CHP by DISC'!F60/15</f>
        <v>0</v>
      </c>
      <c r="G60" s="154">
        <f>+'NEW Summer CHP by DISC'!G60/15</f>
        <v>0</v>
      </c>
      <c r="H60" s="154">
        <f>+'NEW Summer CHP by DISC'!H60/12</f>
        <v>0</v>
      </c>
      <c r="I60" s="154">
        <f t="shared" si="43"/>
        <v>0</v>
      </c>
      <c r="J60" s="155" t="str">
        <f t="shared" si="44"/>
        <v>N/A</v>
      </c>
      <c r="K60" s="154">
        <f>+'NEW Summer CHP by DISC'!K60/15</f>
        <v>0</v>
      </c>
      <c r="L60" s="154">
        <f>+'NEW Summer CHP by DISC'!L60/15</f>
        <v>0</v>
      </c>
      <c r="M60" s="154">
        <f>+'NEW Summer CHP by DISC'!M60/12</f>
        <v>0</v>
      </c>
      <c r="N60" s="1209">
        <f t="shared" si="45"/>
        <v>0</v>
      </c>
      <c r="O60" s="155" t="str">
        <f t="shared" si="46"/>
        <v>N/A</v>
      </c>
      <c r="P60" s="154">
        <f>+'NEW Summer CHP by DISC'!P60/15</f>
        <v>0</v>
      </c>
      <c r="Q60" s="154">
        <f>+'NEW Summer CHP by DISC'!Q60/15</f>
        <v>0</v>
      </c>
      <c r="R60" s="154">
        <f>+'NEW Summer CHP by DISC'!R60/12</f>
        <v>0</v>
      </c>
      <c r="S60" s="154">
        <f t="shared" si="47"/>
        <v>0</v>
      </c>
      <c r="T60" s="155" t="str">
        <f t="shared" si="48"/>
        <v>N/A</v>
      </c>
      <c r="U60" s="154">
        <f>+'NEW Summer CHP by DISC'!U60/15</f>
        <v>0</v>
      </c>
      <c r="V60" s="154">
        <f>+'NEW Summer CHP by DISC'!V60/15</f>
        <v>0</v>
      </c>
      <c r="W60" s="154">
        <f>+'NEW Summer CHP by DISC'!W60/12</f>
        <v>0</v>
      </c>
      <c r="X60" s="154">
        <f t="shared" si="49"/>
        <v>0</v>
      </c>
      <c r="Y60" s="155" t="str">
        <f t="shared" si="50"/>
        <v>N/A</v>
      </c>
      <c r="Z60" s="154">
        <f>+'NEW Summer CHP by DISC'!Z60/15</f>
        <v>0</v>
      </c>
      <c r="AA60" s="154">
        <f>+'NEW Summer CHP by DISC'!AA60/15</f>
        <v>0</v>
      </c>
      <c r="AB60" s="154">
        <f>+'NEW Summer CHP by DISC'!AB60/12</f>
        <v>0</v>
      </c>
      <c r="AC60" s="154">
        <f t="shared" si="51"/>
        <v>0</v>
      </c>
      <c r="AD60" s="567" t="str">
        <f t="shared" si="52"/>
        <v>N/A</v>
      </c>
      <c r="AE60" s="328"/>
      <c r="AF60" s="328"/>
      <c r="AG60" s="328"/>
      <c r="AH60" s="328"/>
      <c r="AI60" s="328"/>
      <c r="AJ60" s="328"/>
      <c r="AK60" s="328"/>
      <c r="AL60" s="328"/>
      <c r="AM60" s="328"/>
      <c r="AN60" s="328"/>
      <c r="AO60" s="328"/>
      <c r="AP60" s="328"/>
      <c r="AQ60" s="328"/>
    </row>
    <row r="61" spans="1:43" s="575" customFormat="1" ht="13.8" x14ac:dyDescent="0.25">
      <c r="A61" s="615" t="s">
        <v>961</v>
      </c>
      <c r="B61" s="611">
        <f t="shared" ref="B61:I61" si="53">SUM(B56:B60)</f>
        <v>6.2</v>
      </c>
      <c r="C61" s="611">
        <f t="shared" si="53"/>
        <v>0.46666666666666667</v>
      </c>
      <c r="D61" s="611">
        <f t="shared" si="53"/>
        <v>0</v>
      </c>
      <c r="E61" s="611">
        <f t="shared" si="53"/>
        <v>6.666666666666667</v>
      </c>
      <c r="F61" s="611">
        <f t="shared" si="53"/>
        <v>2.4666666666666668</v>
      </c>
      <c r="G61" s="611">
        <f t="shared" si="53"/>
        <v>0</v>
      </c>
      <c r="H61" s="611">
        <f t="shared" si="53"/>
        <v>0</v>
      </c>
      <c r="I61" s="611">
        <f t="shared" si="53"/>
        <v>2.4666666666666668</v>
      </c>
      <c r="J61" s="613">
        <f>IF(E61&gt;0,(I61-E61)/E61,(IF(I61=0,"N/A",100%)))</f>
        <v>-0.63</v>
      </c>
      <c r="K61" s="611">
        <f>SUM(K56:K60)</f>
        <v>3</v>
      </c>
      <c r="L61" s="611">
        <f>SUM(L56:L60)</f>
        <v>0</v>
      </c>
      <c r="M61" s="611">
        <f>SUM(M56:M60)</f>
        <v>0</v>
      </c>
      <c r="N61" s="611">
        <f>SUM(N56:N60)</f>
        <v>3</v>
      </c>
      <c r="O61" s="613">
        <f>IF(I61&gt;0,(N61-I61)/I61,(IF(N61=0,"N/A",100%)))</f>
        <v>0.21621621621621614</v>
      </c>
      <c r="P61" s="611">
        <f>SUM(P56:P60)</f>
        <v>1.3333333333333333</v>
      </c>
      <c r="Q61" s="611">
        <f>SUM(Q56:Q60)</f>
        <v>0.26666666666666666</v>
      </c>
      <c r="R61" s="611">
        <f>SUM(R56:R60)</f>
        <v>0</v>
      </c>
      <c r="S61" s="611">
        <f>SUM(S56:S60)</f>
        <v>1.5999999999999999</v>
      </c>
      <c r="T61" s="613">
        <f>IF(N61&gt;0,(S61-N61)/N61,(IF(S61=0,"N/A",100%)))</f>
        <v>-0.46666666666666673</v>
      </c>
      <c r="U61" s="611">
        <f>SUM(U56:U60)</f>
        <v>0.26666666666666666</v>
      </c>
      <c r="V61" s="611">
        <f>SUM(V56:V60)</f>
        <v>0.2</v>
      </c>
      <c r="W61" s="611">
        <f>SUM(W56:W60)</f>
        <v>0</v>
      </c>
      <c r="X61" s="611">
        <f>SUM(X56:X60)</f>
        <v>0.46666666666666667</v>
      </c>
      <c r="Y61" s="613">
        <f>IF(S61&gt;0,(X61-S61)/S61,(IF(X61=0,"N/A",100%)))</f>
        <v>-0.70833333333333337</v>
      </c>
      <c r="Z61" s="611">
        <f>SUM(Z56:Z60)</f>
        <v>3</v>
      </c>
      <c r="AA61" s="611">
        <f>SUM(AA56:AA60)</f>
        <v>0.33333333333333337</v>
      </c>
      <c r="AB61" s="611">
        <f>SUM(AB56:AB60)</f>
        <v>0</v>
      </c>
      <c r="AC61" s="611">
        <f>SUM(AC56:AC60)</f>
        <v>3.3333333333333335</v>
      </c>
      <c r="AD61" s="614">
        <f>IF(X61&gt;0,(AC61-X61)/X61,(IF(AC61=0,"N/A",100%)))</f>
        <v>6.1428571428571432</v>
      </c>
    </row>
    <row r="62" spans="1:43" x14ac:dyDescent="0.25">
      <c r="A62" s="564" t="s">
        <v>428</v>
      </c>
      <c r="B62" s="151"/>
      <c r="C62" s="152"/>
      <c r="D62" s="152"/>
      <c r="E62" s="330"/>
      <c r="F62" s="151"/>
      <c r="G62" s="152"/>
      <c r="H62" s="152"/>
      <c r="I62" s="152"/>
      <c r="J62" s="153"/>
      <c r="K62" s="151"/>
      <c r="L62" s="152"/>
      <c r="M62" s="152"/>
      <c r="N62" s="1208"/>
      <c r="O62" s="153"/>
      <c r="P62" s="151"/>
      <c r="Q62" s="152"/>
      <c r="R62" s="152"/>
      <c r="S62" s="152"/>
      <c r="T62" s="153"/>
      <c r="U62" s="151"/>
      <c r="V62" s="152"/>
      <c r="W62" s="152"/>
      <c r="X62" s="152"/>
      <c r="Y62" s="153"/>
      <c r="Z62" s="151"/>
      <c r="AA62" s="152"/>
      <c r="AB62" s="152"/>
      <c r="AC62" s="152"/>
      <c r="AD62" s="565"/>
      <c r="AE62" s="328"/>
      <c r="AF62" s="328"/>
      <c r="AG62" s="328"/>
      <c r="AH62" s="328"/>
      <c r="AI62" s="328"/>
      <c r="AJ62" s="328"/>
      <c r="AK62" s="328"/>
      <c r="AL62" s="328"/>
      <c r="AM62" s="328"/>
      <c r="AN62" s="328"/>
      <c r="AO62" s="328"/>
      <c r="AP62" s="328"/>
      <c r="AQ62" s="328"/>
    </row>
    <row r="63" spans="1:43" x14ac:dyDescent="0.25">
      <c r="A63" s="566" t="s">
        <v>992</v>
      </c>
      <c r="B63" s="154">
        <f>+'NEW Summer CHP by DISC'!B63/15</f>
        <v>0</v>
      </c>
      <c r="C63" s="154">
        <f>+'NEW Summer CHP by DISC'!C63/15</f>
        <v>0</v>
      </c>
      <c r="D63" s="154">
        <f>+'NEW Summer CHP by DISC'!D63/12</f>
        <v>0</v>
      </c>
      <c r="E63" s="331">
        <f t="shared" ref="E63:E68" si="54">SUM(B63:D63)</f>
        <v>0</v>
      </c>
      <c r="F63" s="154">
        <f>+'NEW Summer CHP by DISC'!F63/15</f>
        <v>0</v>
      </c>
      <c r="G63" s="154">
        <f>+'NEW Summer CHP by DISC'!G63/15</f>
        <v>0</v>
      </c>
      <c r="H63" s="154">
        <f>+'NEW Summer CHP by DISC'!H63/12</f>
        <v>0</v>
      </c>
      <c r="I63" s="154">
        <f t="shared" ref="I63:I68" si="55">SUM(F63:H63)</f>
        <v>0</v>
      </c>
      <c r="J63" s="155" t="str">
        <f t="shared" ref="J63" si="56">IF(E63&gt;0,(I63-E63)/E63,(IF(I63=0,"N/A",100%)))</f>
        <v>N/A</v>
      </c>
      <c r="K63" s="154">
        <f>+'NEW Summer CHP by DISC'!K63/15</f>
        <v>0</v>
      </c>
      <c r="L63" s="154">
        <f>+'NEW Summer CHP by DISC'!L63/15</f>
        <v>0</v>
      </c>
      <c r="M63" s="154">
        <f>+'NEW Summer CHP by DISC'!M63/12</f>
        <v>0</v>
      </c>
      <c r="N63" s="1209">
        <f t="shared" ref="N63:N68" si="57">SUM(K63:M63)</f>
        <v>0</v>
      </c>
      <c r="O63" s="155" t="str">
        <f t="shared" ref="O63" si="58">IF(I63&gt;0,(N63-I63)/I63,(IF(N63=0,"N/A",100%)))</f>
        <v>N/A</v>
      </c>
      <c r="P63" s="154">
        <f>+'NEW Summer CHP by DISC'!P63/15</f>
        <v>0</v>
      </c>
      <c r="Q63" s="154">
        <f>+'NEW Summer CHP by DISC'!Q63/15</f>
        <v>0</v>
      </c>
      <c r="R63" s="154">
        <f>+'NEW Summer CHP by DISC'!R63/12</f>
        <v>0</v>
      </c>
      <c r="S63" s="154">
        <f t="shared" ref="S63:S68" si="59">SUM(P63:R63)</f>
        <v>0</v>
      </c>
      <c r="T63" s="155" t="str">
        <f t="shared" ref="T63" si="60">IF(N63&gt;0,(S63-N63)/N63,(IF(S63=0,"N/A",100%)))</f>
        <v>N/A</v>
      </c>
      <c r="U63" s="154">
        <f>+'NEW Summer CHP by DISC'!U63/15</f>
        <v>0</v>
      </c>
      <c r="V63" s="154">
        <f>+'NEW Summer CHP by DISC'!V63/15</f>
        <v>0</v>
      </c>
      <c r="W63" s="154">
        <f>+'NEW Summer CHP by DISC'!W63/12</f>
        <v>0</v>
      </c>
      <c r="X63" s="154">
        <f t="shared" ref="X63:X68" si="61">SUM(U63:W63)</f>
        <v>0</v>
      </c>
      <c r="Y63" s="155" t="str">
        <f t="shared" ref="Y63" si="62">IF(S63&gt;0,(X63-S63)/S63,(IF(X63=0,"N/A",100%)))</f>
        <v>N/A</v>
      </c>
      <c r="Z63" s="154">
        <f>+'NEW Summer CHP by DISC'!Z63/15</f>
        <v>1.4</v>
      </c>
      <c r="AA63" s="154">
        <f>+'NEW Summer CHP by DISC'!AA63/15</f>
        <v>0</v>
      </c>
      <c r="AB63" s="154">
        <f>+'NEW Summer CHP by DISC'!AB63/12</f>
        <v>0</v>
      </c>
      <c r="AC63" s="154">
        <f t="shared" ref="AC63:AC68" si="63">SUM(Z63:AB63)</f>
        <v>1.4</v>
      </c>
      <c r="AD63" s="567">
        <f t="shared" ref="AD63" si="64">IF(X63&gt;0,(AC63-X63)/X63,(IF(AC63=0,"N/A",100%)))</f>
        <v>1</v>
      </c>
      <c r="AE63" s="328"/>
      <c r="AF63" s="328"/>
      <c r="AG63" s="328"/>
      <c r="AH63" s="328"/>
      <c r="AI63" s="328"/>
      <c r="AJ63" s="328"/>
      <c r="AK63" s="328"/>
      <c r="AL63" s="328"/>
      <c r="AM63" s="328"/>
      <c r="AN63" s="328"/>
      <c r="AO63" s="328"/>
      <c r="AP63" s="328"/>
      <c r="AQ63" s="328"/>
    </row>
    <row r="64" spans="1:43" x14ac:dyDescent="0.25">
      <c r="A64" s="967" t="s">
        <v>1409</v>
      </c>
      <c r="B64" s="154">
        <f>+'NEW Summer CHP by DISC'!B64/15</f>
        <v>0</v>
      </c>
      <c r="C64" s="154">
        <f>+'NEW Summer CHP by DISC'!C64/15</f>
        <v>0</v>
      </c>
      <c r="D64" s="154">
        <f>+'NEW Summer CHP by DISC'!D64/12</f>
        <v>0</v>
      </c>
      <c r="E64" s="331">
        <f t="shared" si="54"/>
        <v>0</v>
      </c>
      <c r="F64" s="154">
        <f>+'NEW Summer CHP by DISC'!F64/15</f>
        <v>0</v>
      </c>
      <c r="G64" s="154">
        <f>+'NEW Summer CHP by DISC'!G64/15</f>
        <v>0</v>
      </c>
      <c r="H64" s="154">
        <f>+'NEW Summer CHP by DISC'!H64/12</f>
        <v>0</v>
      </c>
      <c r="I64" s="154">
        <f t="shared" si="55"/>
        <v>0</v>
      </c>
      <c r="J64" s="155" t="str">
        <f t="shared" ref="J64:J69" si="65">IF(E64&gt;0,(I64-E64)/E64,(IF(I64=0,"N/A",100%)))</f>
        <v>N/A</v>
      </c>
      <c r="K64" s="154">
        <f>+'NEW Summer CHP by DISC'!K64/15</f>
        <v>0</v>
      </c>
      <c r="L64" s="154">
        <f>+'NEW Summer CHP by DISC'!L64/15</f>
        <v>0</v>
      </c>
      <c r="M64" s="154">
        <f>+'NEW Summer CHP by DISC'!M64/12</f>
        <v>0</v>
      </c>
      <c r="N64" s="1209">
        <f t="shared" si="57"/>
        <v>0</v>
      </c>
      <c r="O64" s="155" t="str">
        <f t="shared" ref="O64:O69" si="66">IF(I64&gt;0,(N64-I64)/I64,(IF(N64=0,"N/A",100%)))</f>
        <v>N/A</v>
      </c>
      <c r="P64" s="154">
        <f>+'NEW Summer CHP by DISC'!P64/15</f>
        <v>0</v>
      </c>
      <c r="Q64" s="154">
        <f>+'NEW Summer CHP by DISC'!Q64/15</f>
        <v>0</v>
      </c>
      <c r="R64" s="154">
        <f>+'NEW Summer CHP by DISC'!R64/12</f>
        <v>12.5</v>
      </c>
      <c r="S64" s="154">
        <f t="shared" si="59"/>
        <v>12.5</v>
      </c>
      <c r="T64" s="155">
        <f t="shared" ref="T64:T69" si="67">IF(N64&gt;0,(S64-N64)/N64,(IF(S64=0,"N/A",100%)))</f>
        <v>1</v>
      </c>
      <c r="U64" s="154">
        <f>+'NEW Summer CHP by DISC'!U64/15</f>
        <v>0</v>
      </c>
      <c r="V64" s="154">
        <f>+'NEW Summer CHP by DISC'!V64/15</f>
        <v>0</v>
      </c>
      <c r="W64" s="154">
        <f>+'NEW Summer CHP by DISC'!W64/12</f>
        <v>13</v>
      </c>
      <c r="X64" s="154">
        <f t="shared" si="61"/>
        <v>13</v>
      </c>
      <c r="Y64" s="155">
        <f t="shared" ref="Y64:Y69" si="68">IF(S64&gt;0,(X64-S64)/S64,(IF(X64=0,"N/A",100%)))</f>
        <v>0.04</v>
      </c>
      <c r="Z64" s="154">
        <f>+'NEW Summer CHP by DISC'!Z64/15</f>
        <v>0</v>
      </c>
      <c r="AA64" s="154">
        <f>+'NEW Summer CHP by DISC'!AA64/15</f>
        <v>0</v>
      </c>
      <c r="AB64" s="154">
        <f>+'NEW Summer CHP by DISC'!AB64/12</f>
        <v>11.5</v>
      </c>
      <c r="AC64" s="154">
        <f t="shared" si="63"/>
        <v>11.5</v>
      </c>
      <c r="AD64" s="567">
        <f t="shared" ref="AD64:AD69" si="69">IF(X64&gt;0,(AC64-X64)/X64,(IF(AC64=0,"N/A",100%)))</f>
        <v>-0.11538461538461539</v>
      </c>
      <c r="AE64" s="328"/>
      <c r="AF64" s="328"/>
      <c r="AG64" s="328"/>
      <c r="AH64" s="328"/>
      <c r="AI64" s="328"/>
      <c r="AJ64" s="328"/>
      <c r="AK64" s="328"/>
      <c r="AL64" s="328"/>
      <c r="AM64" s="328"/>
      <c r="AN64" s="328"/>
      <c r="AO64" s="328"/>
      <c r="AP64" s="328"/>
      <c r="AQ64" s="328"/>
    </row>
    <row r="65" spans="1:43" x14ac:dyDescent="0.25">
      <c r="A65" s="566" t="s">
        <v>987</v>
      </c>
      <c r="B65" s="154">
        <f>+'NEW Summer CHP by DISC'!B65/15</f>
        <v>6.6</v>
      </c>
      <c r="C65" s="154">
        <f>+'NEW Summer CHP by DISC'!C65/15</f>
        <v>7.4</v>
      </c>
      <c r="D65" s="154">
        <f>+'NEW Summer CHP by DISC'!D65/12</f>
        <v>0</v>
      </c>
      <c r="E65" s="331">
        <f t="shared" si="54"/>
        <v>14</v>
      </c>
      <c r="F65" s="154">
        <f>+'NEW Summer CHP by DISC'!F65/15</f>
        <v>2.2000000000000002</v>
      </c>
      <c r="G65" s="154">
        <f>+'NEW Summer CHP by DISC'!G65/15</f>
        <v>7.2</v>
      </c>
      <c r="H65" s="154">
        <f>+'NEW Summer CHP by DISC'!H65/12</f>
        <v>0</v>
      </c>
      <c r="I65" s="154">
        <f t="shared" si="55"/>
        <v>9.4</v>
      </c>
      <c r="J65" s="155">
        <f t="shared" si="65"/>
        <v>-0.32857142857142857</v>
      </c>
      <c r="K65" s="154">
        <f>+'NEW Summer CHP by DISC'!K65/15</f>
        <v>2.2000000000000002</v>
      </c>
      <c r="L65" s="154">
        <f>+'NEW Summer CHP by DISC'!L65/15</f>
        <v>7.4</v>
      </c>
      <c r="M65" s="154">
        <f>+'NEW Summer CHP by DISC'!M65/12</f>
        <v>0</v>
      </c>
      <c r="N65" s="1209">
        <f t="shared" si="57"/>
        <v>9.6000000000000014</v>
      </c>
      <c r="O65" s="155">
        <f t="shared" si="66"/>
        <v>2.1276595744680965E-2</v>
      </c>
      <c r="P65" s="154">
        <f>+'NEW Summer CHP by DISC'!P65/15</f>
        <v>0.8</v>
      </c>
      <c r="Q65" s="154">
        <f>+'NEW Summer CHP by DISC'!Q65/15</f>
        <v>3.8</v>
      </c>
      <c r="R65" s="154">
        <f>+'NEW Summer CHP by DISC'!R65/12</f>
        <v>0</v>
      </c>
      <c r="S65" s="154">
        <f t="shared" si="59"/>
        <v>4.5999999999999996</v>
      </c>
      <c r="T65" s="155">
        <f t="shared" si="67"/>
        <v>-0.52083333333333348</v>
      </c>
      <c r="U65" s="154">
        <f>+'NEW Summer CHP by DISC'!U65/15</f>
        <v>0</v>
      </c>
      <c r="V65" s="154">
        <f>+'NEW Summer CHP by DISC'!V65/15</f>
        <v>5.8</v>
      </c>
      <c r="W65" s="154">
        <f>+'NEW Summer CHP by DISC'!W65/12</f>
        <v>0</v>
      </c>
      <c r="X65" s="154">
        <f t="shared" si="61"/>
        <v>5.8</v>
      </c>
      <c r="Y65" s="155">
        <f t="shared" si="68"/>
        <v>0.26086956521739135</v>
      </c>
      <c r="Z65" s="154">
        <f>+'NEW Summer CHP by DISC'!Z65/15</f>
        <v>2.2000000000000002</v>
      </c>
      <c r="AA65" s="154">
        <f>+'NEW Summer CHP by DISC'!AA65/15</f>
        <v>4.4000000000000004</v>
      </c>
      <c r="AB65" s="154">
        <f>+'NEW Summer CHP by DISC'!AB65/12</f>
        <v>0</v>
      </c>
      <c r="AC65" s="154">
        <f t="shared" si="63"/>
        <v>6.6000000000000005</v>
      </c>
      <c r="AD65" s="567">
        <f t="shared" si="69"/>
        <v>0.13793103448275876</v>
      </c>
      <c r="AE65" s="328"/>
      <c r="AF65" s="328"/>
      <c r="AG65" s="328"/>
      <c r="AH65" s="328"/>
      <c r="AI65" s="328"/>
      <c r="AJ65" s="328"/>
      <c r="AK65" s="328"/>
      <c r="AL65" s="328"/>
      <c r="AM65" s="328"/>
      <c r="AN65" s="328"/>
      <c r="AO65" s="328"/>
      <c r="AP65" s="328"/>
      <c r="AQ65" s="328"/>
    </row>
    <row r="66" spans="1:43" x14ac:dyDescent="0.25">
      <c r="A66" s="566" t="s">
        <v>993</v>
      </c>
      <c r="B66" s="154">
        <f>+'NEW Summer CHP by DISC'!B66/15</f>
        <v>0</v>
      </c>
      <c r="C66" s="154">
        <f>+'NEW Summer CHP by DISC'!C66/15</f>
        <v>2</v>
      </c>
      <c r="D66" s="154">
        <f>+'NEW Summer CHP by DISC'!D66/12</f>
        <v>0</v>
      </c>
      <c r="E66" s="331">
        <f t="shared" si="54"/>
        <v>2</v>
      </c>
      <c r="F66" s="154">
        <f>+'NEW Summer CHP by DISC'!F66/15</f>
        <v>0</v>
      </c>
      <c r="G66" s="154">
        <f>+'NEW Summer CHP by DISC'!G66/15</f>
        <v>3</v>
      </c>
      <c r="H66" s="154">
        <f>+'NEW Summer CHP by DISC'!H66/12</f>
        <v>0</v>
      </c>
      <c r="I66" s="154">
        <f t="shared" si="55"/>
        <v>3</v>
      </c>
      <c r="J66" s="155">
        <f t="shared" si="65"/>
        <v>0.5</v>
      </c>
      <c r="K66" s="154">
        <f>+'NEW Summer CHP by DISC'!K66/15</f>
        <v>0</v>
      </c>
      <c r="L66" s="154">
        <f>+'NEW Summer CHP by DISC'!L66/15</f>
        <v>3</v>
      </c>
      <c r="M66" s="154">
        <f>+'NEW Summer CHP by DISC'!M66/12</f>
        <v>0</v>
      </c>
      <c r="N66" s="1209">
        <f t="shared" si="57"/>
        <v>3</v>
      </c>
      <c r="O66" s="155">
        <f t="shared" si="66"/>
        <v>0</v>
      </c>
      <c r="P66" s="154">
        <f>+'NEW Summer CHP by DISC'!P66/15</f>
        <v>0</v>
      </c>
      <c r="Q66" s="154">
        <f>+'NEW Summer CHP by DISC'!Q66/15</f>
        <v>5</v>
      </c>
      <c r="R66" s="154">
        <f>+'NEW Summer CHP by DISC'!R66/12</f>
        <v>0</v>
      </c>
      <c r="S66" s="154">
        <f t="shared" si="59"/>
        <v>5</v>
      </c>
      <c r="T66" s="155">
        <f t="shared" si="67"/>
        <v>0.66666666666666663</v>
      </c>
      <c r="U66" s="154">
        <f>+'NEW Summer CHP by DISC'!U66/15</f>
        <v>0</v>
      </c>
      <c r="V66" s="154">
        <f>+'NEW Summer CHP by DISC'!V66/15</f>
        <v>5.8</v>
      </c>
      <c r="W66" s="154">
        <f>+'NEW Summer CHP by DISC'!W66/12</f>
        <v>0</v>
      </c>
      <c r="X66" s="154">
        <f t="shared" si="61"/>
        <v>5.8</v>
      </c>
      <c r="Y66" s="155">
        <f t="shared" si="68"/>
        <v>0.15999999999999998</v>
      </c>
      <c r="Z66" s="154">
        <f>+'NEW Summer CHP by DISC'!Z66/15</f>
        <v>0</v>
      </c>
      <c r="AA66" s="154">
        <f>+'NEW Summer CHP by DISC'!AA66/15</f>
        <v>2.8</v>
      </c>
      <c r="AB66" s="154">
        <f>+'NEW Summer CHP by DISC'!AB66/12</f>
        <v>0</v>
      </c>
      <c r="AC66" s="154">
        <f t="shared" si="63"/>
        <v>2.8</v>
      </c>
      <c r="AD66" s="567">
        <f t="shared" si="69"/>
        <v>-0.51724137931034486</v>
      </c>
      <c r="AE66" s="328"/>
      <c r="AF66" s="328"/>
      <c r="AG66" s="328"/>
      <c r="AH66" s="328"/>
      <c r="AI66" s="328"/>
      <c r="AJ66" s="328"/>
      <c r="AK66" s="328"/>
      <c r="AL66" s="328"/>
      <c r="AM66" s="328"/>
      <c r="AN66" s="328"/>
      <c r="AO66" s="328"/>
      <c r="AP66" s="328"/>
      <c r="AQ66" s="328"/>
    </row>
    <row r="67" spans="1:43" x14ac:dyDescent="0.25">
      <c r="A67" s="566" t="s">
        <v>994</v>
      </c>
      <c r="B67" s="154">
        <f>+'NEW Summer CHP by DISC'!B67/15</f>
        <v>5.8</v>
      </c>
      <c r="C67" s="154">
        <f>+'NEW Summer CHP by DISC'!C67/15</f>
        <v>0.2</v>
      </c>
      <c r="D67" s="154">
        <f>+'NEW Summer CHP by DISC'!D67/12</f>
        <v>0</v>
      </c>
      <c r="E67" s="331">
        <f t="shared" si="54"/>
        <v>6</v>
      </c>
      <c r="F67" s="154">
        <f>+'NEW Summer CHP by DISC'!F67/15</f>
        <v>5.6</v>
      </c>
      <c r="G67" s="154">
        <f>+'NEW Summer CHP by DISC'!G67/15</f>
        <v>1.8</v>
      </c>
      <c r="H67" s="154">
        <f>+'NEW Summer CHP by DISC'!H67/12</f>
        <v>0</v>
      </c>
      <c r="I67" s="154">
        <f t="shared" si="55"/>
        <v>7.3999999999999995</v>
      </c>
      <c r="J67" s="155">
        <f t="shared" si="65"/>
        <v>0.23333333333333325</v>
      </c>
      <c r="K67" s="154">
        <f>+'NEW Summer CHP by DISC'!K67/15</f>
        <v>5.8</v>
      </c>
      <c r="L67" s="154">
        <f>+'NEW Summer CHP by DISC'!L67/15</f>
        <v>1.2</v>
      </c>
      <c r="M67" s="154">
        <f>+'NEW Summer CHP by DISC'!M67/12</f>
        <v>0</v>
      </c>
      <c r="N67" s="1209">
        <f t="shared" si="57"/>
        <v>7</v>
      </c>
      <c r="O67" s="155">
        <f t="shared" si="66"/>
        <v>-5.4054054054053988E-2</v>
      </c>
      <c r="P67" s="154">
        <f>+'NEW Summer CHP by DISC'!P67/15</f>
        <v>9.1999999999999993</v>
      </c>
      <c r="Q67" s="154">
        <f>+'NEW Summer CHP by DISC'!Q67/15</f>
        <v>0</v>
      </c>
      <c r="R67" s="154">
        <f>+'NEW Summer CHP by DISC'!R67/12</f>
        <v>0</v>
      </c>
      <c r="S67" s="154">
        <f t="shared" si="59"/>
        <v>9.1999999999999993</v>
      </c>
      <c r="T67" s="155">
        <f t="shared" si="67"/>
        <v>0.31428571428571417</v>
      </c>
      <c r="U67" s="154">
        <f>+'NEW Summer CHP by DISC'!U67/15</f>
        <v>6.6</v>
      </c>
      <c r="V67" s="154">
        <f>+'NEW Summer CHP by DISC'!V67/15</f>
        <v>2.4</v>
      </c>
      <c r="W67" s="154">
        <f>+'NEW Summer CHP by DISC'!W67/12</f>
        <v>0</v>
      </c>
      <c r="X67" s="154">
        <f t="shared" si="61"/>
        <v>9</v>
      </c>
      <c r="Y67" s="155">
        <f t="shared" si="68"/>
        <v>-2.1739130434782532E-2</v>
      </c>
      <c r="Z67" s="154">
        <f>+'NEW Summer CHP by DISC'!Z67/15</f>
        <v>5.4</v>
      </c>
      <c r="AA67" s="154">
        <f>+'NEW Summer CHP by DISC'!AA67/15</f>
        <v>1.6</v>
      </c>
      <c r="AB67" s="154">
        <f>+'NEW Summer CHP by DISC'!AB67/12</f>
        <v>0</v>
      </c>
      <c r="AC67" s="154">
        <f t="shared" si="63"/>
        <v>7</v>
      </c>
      <c r="AD67" s="567">
        <f t="shared" si="69"/>
        <v>-0.22222222222222221</v>
      </c>
      <c r="AE67" s="328"/>
      <c r="AF67" s="328"/>
      <c r="AG67" s="328"/>
      <c r="AH67" s="328"/>
      <c r="AI67" s="328"/>
      <c r="AJ67" s="328"/>
      <c r="AK67" s="328"/>
      <c r="AL67" s="328"/>
      <c r="AM67" s="328"/>
      <c r="AN67" s="328"/>
      <c r="AO67" s="328"/>
      <c r="AP67" s="328"/>
      <c r="AQ67" s="328"/>
    </row>
    <row r="68" spans="1:43" x14ac:dyDescent="0.25">
      <c r="A68" s="967" t="s">
        <v>1376</v>
      </c>
      <c r="B68" s="154">
        <f>+'NEW Summer CHP by DISC'!B68/15</f>
        <v>0</v>
      </c>
      <c r="C68" s="154">
        <f>+'NEW Summer CHP by DISC'!C68/15</f>
        <v>0</v>
      </c>
      <c r="D68" s="154">
        <f>+'NEW Summer CHP by DISC'!D68/12</f>
        <v>0</v>
      </c>
      <c r="E68" s="331">
        <f t="shared" si="54"/>
        <v>0</v>
      </c>
      <c r="F68" s="154">
        <f>+'NEW Summer CHP by DISC'!F68/15</f>
        <v>0</v>
      </c>
      <c r="G68" s="154">
        <f>+'NEW Summer CHP by DISC'!G68/15</f>
        <v>0</v>
      </c>
      <c r="H68" s="154">
        <f>+'NEW Summer CHP by DISC'!H68/12</f>
        <v>0</v>
      </c>
      <c r="I68" s="154">
        <f t="shared" si="55"/>
        <v>0</v>
      </c>
      <c r="J68" s="155" t="str">
        <f t="shared" si="65"/>
        <v>N/A</v>
      </c>
      <c r="K68" s="154">
        <f>+'NEW Summer CHP by DISC'!K68/15</f>
        <v>0</v>
      </c>
      <c r="L68" s="154">
        <f>+'NEW Summer CHP by DISC'!L68/15</f>
        <v>0</v>
      </c>
      <c r="M68" s="154">
        <f>+'NEW Summer CHP by DISC'!M68/12</f>
        <v>0</v>
      </c>
      <c r="N68" s="1209">
        <f t="shared" si="57"/>
        <v>0</v>
      </c>
      <c r="O68" s="155" t="str">
        <f t="shared" si="66"/>
        <v>N/A</v>
      </c>
      <c r="P68" s="154">
        <f>+'NEW Summer CHP by DISC'!P68/15</f>
        <v>0</v>
      </c>
      <c r="Q68" s="154">
        <f>+'NEW Summer CHP by DISC'!Q68/15</f>
        <v>0.2</v>
      </c>
      <c r="R68" s="154">
        <f>+'NEW Summer CHP by DISC'!R68/12</f>
        <v>0</v>
      </c>
      <c r="S68" s="154">
        <f t="shared" si="59"/>
        <v>0.2</v>
      </c>
      <c r="T68" s="155">
        <f t="shared" si="67"/>
        <v>1</v>
      </c>
      <c r="U68" s="154">
        <f>+'NEW Summer CHP by DISC'!U68/15</f>
        <v>0</v>
      </c>
      <c r="V68" s="154">
        <f>+'NEW Summer CHP by DISC'!V68/15</f>
        <v>0.4</v>
      </c>
      <c r="W68" s="154">
        <f>+'NEW Summer CHP by DISC'!W68/12</f>
        <v>0</v>
      </c>
      <c r="X68" s="154">
        <f t="shared" si="61"/>
        <v>0.4</v>
      </c>
      <c r="Y68" s="155">
        <f t="shared" si="68"/>
        <v>1</v>
      </c>
      <c r="Z68" s="154">
        <f>+'NEW Summer CHP by DISC'!Z68/15</f>
        <v>0</v>
      </c>
      <c r="AA68" s="154">
        <f>+'NEW Summer CHP by DISC'!AA68/15</f>
        <v>2</v>
      </c>
      <c r="AB68" s="154">
        <f>+'NEW Summer CHP by DISC'!AB68/12</f>
        <v>0</v>
      </c>
      <c r="AC68" s="154">
        <f t="shared" si="63"/>
        <v>2</v>
      </c>
      <c r="AD68" s="567">
        <f t="shared" si="69"/>
        <v>4</v>
      </c>
      <c r="AE68" s="328"/>
      <c r="AF68" s="328"/>
      <c r="AG68" s="328"/>
      <c r="AH68" s="328"/>
      <c r="AI68" s="328"/>
      <c r="AJ68" s="328"/>
      <c r="AK68" s="328"/>
      <c r="AL68" s="328"/>
      <c r="AM68" s="328"/>
      <c r="AN68" s="328"/>
      <c r="AO68" s="328"/>
      <c r="AP68" s="328"/>
      <c r="AQ68" s="328"/>
    </row>
    <row r="69" spans="1:43" s="575" customFormat="1" ht="13.8" x14ac:dyDescent="0.25">
      <c r="A69" s="615" t="s">
        <v>961</v>
      </c>
      <c r="B69" s="611">
        <f t="shared" ref="B69:I69" si="70">SUM(B63:B68)</f>
        <v>12.399999999999999</v>
      </c>
      <c r="C69" s="611">
        <f t="shared" si="70"/>
        <v>9.6</v>
      </c>
      <c r="D69" s="611">
        <f t="shared" si="70"/>
        <v>0</v>
      </c>
      <c r="E69" s="611">
        <f t="shared" si="70"/>
        <v>22</v>
      </c>
      <c r="F69" s="611">
        <f t="shared" si="70"/>
        <v>7.8</v>
      </c>
      <c r="G69" s="611">
        <f t="shared" si="70"/>
        <v>12</v>
      </c>
      <c r="H69" s="611">
        <f t="shared" si="70"/>
        <v>0</v>
      </c>
      <c r="I69" s="611">
        <f t="shared" si="70"/>
        <v>19.8</v>
      </c>
      <c r="J69" s="613">
        <f t="shared" si="65"/>
        <v>-9.9999999999999964E-2</v>
      </c>
      <c r="K69" s="611">
        <f>SUM(K63:K68)</f>
        <v>8</v>
      </c>
      <c r="L69" s="611">
        <f>SUM(L63:L68)</f>
        <v>11.6</v>
      </c>
      <c r="M69" s="611">
        <f>SUM(M63:M68)</f>
        <v>0</v>
      </c>
      <c r="N69" s="611">
        <f>SUM(N63:N68)</f>
        <v>19.600000000000001</v>
      </c>
      <c r="O69" s="613">
        <f t="shared" si="66"/>
        <v>-1.0101010101010065E-2</v>
      </c>
      <c r="P69" s="611">
        <f>SUM(P63:P68)</f>
        <v>10</v>
      </c>
      <c r="Q69" s="611">
        <f>SUM(Q63:Q68)</f>
        <v>9</v>
      </c>
      <c r="R69" s="611">
        <f>SUM(R63:R68)</f>
        <v>12.5</v>
      </c>
      <c r="S69" s="611">
        <f>SUM(S63:S68)</f>
        <v>31.5</v>
      </c>
      <c r="T69" s="613">
        <f t="shared" si="67"/>
        <v>0.60714285714285698</v>
      </c>
      <c r="U69" s="611">
        <f>SUM(U63:U68)</f>
        <v>6.6</v>
      </c>
      <c r="V69" s="611">
        <f>SUM(V63:V68)</f>
        <v>14.4</v>
      </c>
      <c r="W69" s="611">
        <f>SUM(W63:W68)</f>
        <v>13</v>
      </c>
      <c r="X69" s="611">
        <f>SUM(X63:X68)</f>
        <v>34</v>
      </c>
      <c r="Y69" s="613">
        <f t="shared" si="68"/>
        <v>7.9365079365079361E-2</v>
      </c>
      <c r="Z69" s="611">
        <f>SUM(Z63:Z68)</f>
        <v>9</v>
      </c>
      <c r="AA69" s="611">
        <f>SUM(AA63:AA68)</f>
        <v>10.8</v>
      </c>
      <c r="AB69" s="611">
        <f>SUM(AB63:AB68)</f>
        <v>11.5</v>
      </c>
      <c r="AC69" s="611">
        <f>SUM(AC63:AC68)</f>
        <v>31.3</v>
      </c>
      <c r="AD69" s="614">
        <f t="shared" si="69"/>
        <v>-7.9411764705882334E-2</v>
      </c>
    </row>
    <row r="70" spans="1:43" x14ac:dyDescent="0.25">
      <c r="A70" s="564" t="s">
        <v>409</v>
      </c>
      <c r="B70" s="151"/>
      <c r="C70" s="152"/>
      <c r="D70" s="152"/>
      <c r="E70" s="330"/>
      <c r="F70" s="151"/>
      <c r="G70" s="152"/>
      <c r="H70" s="152"/>
      <c r="I70" s="152"/>
      <c r="J70" s="153"/>
      <c r="K70" s="151"/>
      <c r="L70" s="152"/>
      <c r="M70" s="152"/>
      <c r="N70" s="1208"/>
      <c r="O70" s="153"/>
      <c r="P70" s="151"/>
      <c r="Q70" s="152"/>
      <c r="R70" s="152"/>
      <c r="S70" s="152"/>
      <c r="T70" s="153"/>
      <c r="U70" s="151"/>
      <c r="V70" s="152"/>
      <c r="W70" s="152"/>
      <c r="X70" s="152"/>
      <c r="Y70" s="153"/>
      <c r="Z70" s="151"/>
      <c r="AA70" s="152"/>
      <c r="AB70" s="152"/>
      <c r="AC70" s="152"/>
      <c r="AD70" s="565"/>
      <c r="AE70" s="328"/>
      <c r="AF70" s="328"/>
      <c r="AG70" s="328"/>
      <c r="AH70" s="328"/>
      <c r="AI70" s="328"/>
      <c r="AJ70" s="328"/>
      <c r="AK70" s="328"/>
      <c r="AL70" s="328"/>
      <c r="AM70" s="328"/>
      <c r="AN70" s="328"/>
      <c r="AO70" s="328"/>
      <c r="AP70" s="328"/>
      <c r="AQ70" s="328"/>
    </row>
    <row r="71" spans="1:43" x14ac:dyDescent="0.25">
      <c r="A71" s="566" t="s">
        <v>990</v>
      </c>
      <c r="B71" s="154">
        <f>+'NEW Summer CHP by DISC'!B71/15</f>
        <v>9</v>
      </c>
      <c r="C71" s="154">
        <f>+'NEW Summer CHP by DISC'!C71/15</f>
        <v>1</v>
      </c>
      <c r="D71" s="154">
        <f>+'NEW Summer CHP by DISC'!D71/12</f>
        <v>0</v>
      </c>
      <c r="E71" s="331">
        <f>SUM(B71:D71)</f>
        <v>10</v>
      </c>
      <c r="F71" s="154">
        <f>+'NEW Summer CHP by DISC'!F71/15</f>
        <v>14.4</v>
      </c>
      <c r="G71" s="154">
        <f>+'NEW Summer CHP by DISC'!G71/15</f>
        <v>2.2000000000000002</v>
      </c>
      <c r="H71" s="154">
        <f>+'NEW Summer CHP by DISC'!H71/12</f>
        <v>0</v>
      </c>
      <c r="I71" s="154">
        <f>SUM(F71:H71)</f>
        <v>16.600000000000001</v>
      </c>
      <c r="J71" s="155">
        <f>IF(E71&gt;0,(I71-E71)/E71,(IF(I71=0,"N/A",100%)))</f>
        <v>0.66000000000000014</v>
      </c>
      <c r="K71" s="154">
        <f>+'NEW Summer CHP by DISC'!K71/15</f>
        <v>17</v>
      </c>
      <c r="L71" s="154">
        <f>+'NEW Summer CHP by DISC'!L71/15</f>
        <v>1.4</v>
      </c>
      <c r="M71" s="154">
        <f>+'NEW Summer CHP by DISC'!M71/12</f>
        <v>0</v>
      </c>
      <c r="N71" s="581">
        <f>SUM(K71:M71)</f>
        <v>18.399999999999999</v>
      </c>
      <c r="O71" s="155">
        <f>IF(I71&gt;0,(N71-I71)/I71,(IF(N71=0,"N/A",100%)))</f>
        <v>0.10843373493975886</v>
      </c>
      <c r="P71" s="154">
        <f>+'NEW Summer CHP by DISC'!P71/15</f>
        <v>15.2</v>
      </c>
      <c r="Q71" s="154">
        <f>+'NEW Summer CHP by DISC'!Q71/15</f>
        <v>0.4</v>
      </c>
      <c r="R71" s="154">
        <f>+'NEW Summer CHP by DISC'!R71/12</f>
        <v>0</v>
      </c>
      <c r="S71" s="154">
        <f>SUM(P71:R71)</f>
        <v>15.6</v>
      </c>
      <c r="T71" s="155">
        <f>IF(N71&gt;0,(S71-N71)/N71,(IF(S71=0,"N/A",100%)))</f>
        <v>-0.15217391304347822</v>
      </c>
      <c r="U71" s="154">
        <f>+'NEW Summer CHP by DISC'!U71/15</f>
        <v>12.4</v>
      </c>
      <c r="V71" s="154">
        <f>+'NEW Summer CHP by DISC'!V71/15</f>
        <v>0</v>
      </c>
      <c r="W71" s="154">
        <f>+'NEW Summer CHP by DISC'!W71/12</f>
        <v>0</v>
      </c>
      <c r="X71" s="154">
        <f>SUM(U71:W71)</f>
        <v>12.4</v>
      </c>
      <c r="Y71" s="155">
        <f>IF(S71&gt;0,(X71-S71)/S71,(IF(X71=0,"N/A",100%)))</f>
        <v>-0.20512820512820509</v>
      </c>
      <c r="Z71" s="154">
        <f>+'NEW Summer CHP by DISC'!Z71/15</f>
        <v>1.8</v>
      </c>
      <c r="AA71" s="154">
        <f>+'NEW Summer CHP by DISC'!AA71/15</f>
        <v>11.8</v>
      </c>
      <c r="AB71" s="154">
        <f>+'NEW Summer CHP by DISC'!AB71/12</f>
        <v>0</v>
      </c>
      <c r="AC71" s="154">
        <f>SUM(Z71:AB71)</f>
        <v>13.600000000000001</v>
      </c>
      <c r="AD71" s="567">
        <f>IF(X71&gt;0,(AC71-X71)/X71,(IF(AC71=0,"N/A",100%)))</f>
        <v>9.6774193548387177E-2</v>
      </c>
      <c r="AE71" s="328"/>
      <c r="AF71" s="328"/>
      <c r="AG71" s="328"/>
      <c r="AH71" s="328"/>
      <c r="AI71" s="328"/>
      <c r="AJ71" s="328"/>
      <c r="AK71" s="328"/>
      <c r="AL71" s="328"/>
      <c r="AM71" s="328"/>
      <c r="AN71" s="328"/>
      <c r="AO71" s="328"/>
      <c r="AP71" s="328"/>
      <c r="AQ71" s="328"/>
    </row>
    <row r="72" spans="1:43" x14ac:dyDescent="0.25">
      <c r="A72" s="566" t="s">
        <v>995</v>
      </c>
      <c r="B72" s="154">
        <f>+'NEW Summer CHP by DISC'!B72/15</f>
        <v>9</v>
      </c>
      <c r="C72" s="154">
        <f>+'NEW Summer CHP by DISC'!C72/15</f>
        <v>0</v>
      </c>
      <c r="D72" s="154">
        <f>+'NEW Summer CHP by DISC'!D72/12</f>
        <v>0</v>
      </c>
      <c r="E72" s="331">
        <f>SUM(B72:D72)</f>
        <v>9</v>
      </c>
      <c r="F72" s="154">
        <f>+'NEW Summer CHP by DISC'!F72/15</f>
        <v>5.8</v>
      </c>
      <c r="G72" s="154">
        <f>+'NEW Summer CHP by DISC'!G72/15</f>
        <v>0</v>
      </c>
      <c r="H72" s="154">
        <f>+'NEW Summer CHP by DISC'!H72/12</f>
        <v>0</v>
      </c>
      <c r="I72" s="154">
        <f>SUM(F72:H72)</f>
        <v>5.8</v>
      </c>
      <c r="J72" s="155">
        <f>IF(E72&gt;0,(I72-E72)/E72,(IF(I72=0,"N/A",100%)))</f>
        <v>-0.35555555555555557</v>
      </c>
      <c r="K72" s="154">
        <f>+'NEW Summer CHP by DISC'!K72/15</f>
        <v>11.2</v>
      </c>
      <c r="L72" s="154">
        <f>+'NEW Summer CHP by DISC'!L72/15</f>
        <v>0</v>
      </c>
      <c r="M72" s="154">
        <f>+'NEW Summer CHP by DISC'!M72/12</f>
        <v>0</v>
      </c>
      <c r="N72" s="1209">
        <f>SUM(K72:M72)</f>
        <v>11.2</v>
      </c>
      <c r="O72" s="155">
        <f>IF(I72&gt;0,(N72-I72)/I72,(IF(N72=0,"N/A",100%)))</f>
        <v>0.93103448275862066</v>
      </c>
      <c r="P72" s="154">
        <f>+'NEW Summer CHP by DISC'!P72/15</f>
        <v>9.4</v>
      </c>
      <c r="Q72" s="154">
        <f>+'NEW Summer CHP by DISC'!Q72/15</f>
        <v>0</v>
      </c>
      <c r="R72" s="154">
        <f>+'NEW Summer CHP by DISC'!R72/12</f>
        <v>0</v>
      </c>
      <c r="S72" s="154">
        <f>SUM(P72:R72)</f>
        <v>9.4</v>
      </c>
      <c r="T72" s="155">
        <f>IF(N72&gt;0,(S72-N72)/N72,(IF(S72=0,"N/A",100%)))</f>
        <v>-0.16071428571428564</v>
      </c>
      <c r="U72" s="154">
        <f>+'NEW Summer CHP by DISC'!U72/15</f>
        <v>13.2</v>
      </c>
      <c r="V72" s="154">
        <f>+'NEW Summer CHP by DISC'!V72/15</f>
        <v>0</v>
      </c>
      <c r="W72" s="154">
        <f>+'NEW Summer CHP by DISC'!W72/12</f>
        <v>0</v>
      </c>
      <c r="X72" s="154">
        <f>SUM(U72:W72)</f>
        <v>13.2</v>
      </c>
      <c r="Y72" s="155">
        <f>IF(S72&gt;0,(X72-S72)/S72,(IF(X72=0,"N/A",100%)))</f>
        <v>0.40425531914893603</v>
      </c>
      <c r="Z72" s="154">
        <f>+'NEW Summer CHP by DISC'!Z72/15</f>
        <v>6.8</v>
      </c>
      <c r="AA72" s="154">
        <f>+'NEW Summer CHP by DISC'!AA72/15</f>
        <v>0.2</v>
      </c>
      <c r="AB72" s="154">
        <f>+'NEW Summer CHP by DISC'!AB72/12</f>
        <v>0</v>
      </c>
      <c r="AC72" s="154">
        <f>SUM(Z72:AB72)</f>
        <v>7</v>
      </c>
      <c r="AD72" s="567">
        <f>IF(X72&gt;0,(AC72-X72)/X72,(IF(AC72=0,"N/A",100%)))</f>
        <v>-0.46969696969696967</v>
      </c>
      <c r="AE72" s="328"/>
      <c r="AF72" s="328"/>
      <c r="AG72" s="328"/>
      <c r="AH72" s="328"/>
      <c r="AI72" s="328"/>
      <c r="AJ72" s="328"/>
      <c r="AK72" s="328"/>
      <c r="AL72" s="328"/>
      <c r="AM72" s="328"/>
      <c r="AN72" s="328"/>
      <c r="AO72" s="328"/>
      <c r="AP72" s="328"/>
      <c r="AQ72" s="328"/>
    </row>
    <row r="73" spans="1:43" s="575" customFormat="1" ht="13.8" x14ac:dyDescent="0.25">
      <c r="A73" s="615" t="s">
        <v>961</v>
      </c>
      <c r="B73" s="611">
        <f t="shared" ref="B73:I73" si="71">SUM(B71:B72)</f>
        <v>18</v>
      </c>
      <c r="C73" s="611">
        <f t="shared" si="71"/>
        <v>1</v>
      </c>
      <c r="D73" s="611">
        <f t="shared" si="71"/>
        <v>0</v>
      </c>
      <c r="E73" s="612">
        <f t="shared" si="71"/>
        <v>19</v>
      </c>
      <c r="F73" s="611">
        <f t="shared" si="71"/>
        <v>20.2</v>
      </c>
      <c r="G73" s="611">
        <f t="shared" si="71"/>
        <v>2.2000000000000002</v>
      </c>
      <c r="H73" s="611">
        <f t="shared" si="71"/>
        <v>0</v>
      </c>
      <c r="I73" s="611">
        <f t="shared" si="71"/>
        <v>22.400000000000002</v>
      </c>
      <c r="J73" s="613">
        <f>IF(E73&gt;0,(I73-E73)/E73,(IF(I73=0,"N/A",100%)))</f>
        <v>0.17894736842105274</v>
      </c>
      <c r="K73" s="611">
        <f t="shared" ref="K73:S73" si="72">SUM(K71:K72)</f>
        <v>28.2</v>
      </c>
      <c r="L73" s="611">
        <f t="shared" si="72"/>
        <v>1.4</v>
      </c>
      <c r="M73" s="611">
        <f t="shared" si="72"/>
        <v>0</v>
      </c>
      <c r="N73" s="1212">
        <f t="shared" si="72"/>
        <v>29.599999999999998</v>
      </c>
      <c r="O73" s="613">
        <f>IF(I73&gt;0,(N73-I73)/I73,(IF(N73=0,"N/A",100%)))</f>
        <v>0.32142857142857123</v>
      </c>
      <c r="P73" s="611">
        <f t="shared" si="72"/>
        <v>24.6</v>
      </c>
      <c r="Q73" s="611">
        <f t="shared" si="72"/>
        <v>0.4</v>
      </c>
      <c r="R73" s="611">
        <f t="shared" si="72"/>
        <v>0</v>
      </c>
      <c r="S73" s="611">
        <f t="shared" si="72"/>
        <v>25</v>
      </c>
      <c r="T73" s="613">
        <f>IF(N73&gt;0,(S73-N73)/N73,(IF(S73=0,"N/A",100%)))</f>
        <v>-0.15540540540540534</v>
      </c>
      <c r="U73" s="611">
        <f>SUM(U71:U72)</f>
        <v>25.6</v>
      </c>
      <c r="V73" s="611">
        <f>SUM(V71:V72)</f>
        <v>0</v>
      </c>
      <c r="W73" s="611">
        <f>SUM(W71:W72)</f>
        <v>0</v>
      </c>
      <c r="X73" s="611">
        <f>SUM(X71:X72)</f>
        <v>25.6</v>
      </c>
      <c r="Y73" s="613">
        <f>IF(S73&gt;0,(X73-S73)/S73,(IF(X73=0,"N/A",100%)))</f>
        <v>2.4000000000000056E-2</v>
      </c>
      <c r="Z73" s="611">
        <f>SUM(Z71:Z72)</f>
        <v>8.6</v>
      </c>
      <c r="AA73" s="611">
        <f>SUM(AA71:AA72)</f>
        <v>12</v>
      </c>
      <c r="AB73" s="611">
        <f>SUM(AB71:AB72)</f>
        <v>0</v>
      </c>
      <c r="AC73" s="611">
        <f>SUM(AC71:AC72)</f>
        <v>20.6</v>
      </c>
      <c r="AD73" s="614">
        <f>IF(X73&gt;0,(AC73-X73)/X73,(IF(AC73=0,"N/A",100%)))</f>
        <v>-0.1953125</v>
      </c>
    </row>
    <row r="74" spans="1:43" s="596" customFormat="1" ht="16.2" thickBot="1" x14ac:dyDescent="0.35">
      <c r="A74" s="590" t="s">
        <v>414</v>
      </c>
      <c r="B74" s="591">
        <f t="shared" ref="B74:I74" si="73">+B46+B54+B61+B69+B73</f>
        <v>46.733333333333334</v>
      </c>
      <c r="C74" s="591">
        <f t="shared" si="73"/>
        <v>20.266666666666666</v>
      </c>
      <c r="D74" s="591">
        <f t="shared" si="73"/>
        <v>13.25</v>
      </c>
      <c r="E74" s="593">
        <f t="shared" si="73"/>
        <v>80.25</v>
      </c>
      <c r="F74" s="591">
        <f t="shared" si="73"/>
        <v>36.266666666666666</v>
      </c>
      <c r="G74" s="591">
        <f t="shared" si="73"/>
        <v>22.2</v>
      </c>
      <c r="H74" s="591">
        <f t="shared" si="73"/>
        <v>19.5</v>
      </c>
      <c r="I74" s="591">
        <f t="shared" si="73"/>
        <v>77.966666666666669</v>
      </c>
      <c r="J74" s="642">
        <f>IF(E74&gt;0,(I74-E74)/E74,(IF(I74=0,"N/A",100%)))</f>
        <v>-2.8452751817237776E-2</v>
      </c>
      <c r="K74" s="591">
        <f>+K46+K54+K61+K69+K73</f>
        <v>45.4</v>
      </c>
      <c r="L74" s="591">
        <f>+L46+L54+L61+L69+L73</f>
        <v>16.399999999999999</v>
      </c>
      <c r="M74" s="591">
        <f>+M46+M54+M61+M69+M73</f>
        <v>10.25</v>
      </c>
      <c r="N74" s="592">
        <f>+N46+N54+N61+N69+N73</f>
        <v>72.05</v>
      </c>
      <c r="O74" s="594">
        <f>IF(I74&gt;0,(N74-I74)/I74,(IF(N74=0,"N/A",100%)))</f>
        <v>-7.5887131252672144E-2</v>
      </c>
      <c r="P74" s="591">
        <f>+P46+P54+P61+P69+P73</f>
        <v>40.333333333333336</v>
      </c>
      <c r="Q74" s="591">
        <f>+Q46+Q54+Q61+Q69+Q73</f>
        <v>18.933333333333334</v>
      </c>
      <c r="R74" s="591">
        <f>+R46+R54+R61+R69+R73</f>
        <v>28</v>
      </c>
      <c r="S74" s="591">
        <f>+S46+S54+S61+S69+S73</f>
        <v>87.266666666666666</v>
      </c>
      <c r="T74" s="642">
        <f>IF(N74&gt;0,(S74-N74)/N74,(IF(S74=0,"N/A",100%)))</f>
        <v>0.21119592875318069</v>
      </c>
      <c r="U74" s="591">
        <f>+U46+U54+U61+U69+U73</f>
        <v>35.466666666666669</v>
      </c>
      <c r="V74" s="591">
        <f>+V46+V54+V61+V69+V73</f>
        <v>21.333333333333336</v>
      </c>
      <c r="W74" s="591">
        <f>+W46+W54+W61+W69+W73</f>
        <v>20.5</v>
      </c>
      <c r="X74" s="591">
        <f>+X46+X54+X61+X69+X73</f>
        <v>77.300000000000011</v>
      </c>
      <c r="Y74" s="642">
        <f>IF(S74&gt;0,(X74-S74)/S74,(IF(X74=0,"N/A",100%)))</f>
        <v>-0.11420932009167289</v>
      </c>
      <c r="Z74" s="591">
        <f>+Z46+Z54+Z61+Z69+Z73</f>
        <v>22.799999999999997</v>
      </c>
      <c r="AA74" s="591">
        <f>+AA46+AA54+AA61+AA69+AA73</f>
        <v>35.333333333333336</v>
      </c>
      <c r="AB74" s="591">
        <f>+AB46+AB54+AB61+AB69+AB73</f>
        <v>21.5</v>
      </c>
      <c r="AC74" s="591">
        <f>+AC46+AC54+AC61+AC69+AC73</f>
        <v>79.633333333333326</v>
      </c>
      <c r="AD74" s="643">
        <f>IF(X74&gt;0,(AC74-X74)/X74,(IF(AC74=0,"N/A",100%)))</f>
        <v>3.0185424752048048E-2</v>
      </c>
    </row>
    <row r="75" spans="1:43" ht="14.25" customHeight="1" thickTop="1" x14ac:dyDescent="0.25">
      <c r="A75" s="604"/>
      <c r="B75" s="604"/>
      <c r="C75" s="604"/>
      <c r="D75" s="604"/>
      <c r="E75" s="604"/>
      <c r="F75" s="604"/>
      <c r="G75" s="604"/>
      <c r="H75" s="604"/>
      <c r="I75" s="604"/>
      <c r="J75" s="604"/>
      <c r="K75" s="335"/>
      <c r="L75" s="335"/>
      <c r="M75" s="335"/>
      <c r="N75" s="335"/>
      <c r="O75" s="335"/>
      <c r="P75" s="335"/>
      <c r="Q75" s="335"/>
      <c r="R75" s="335"/>
      <c r="S75" s="335"/>
      <c r="T75" s="598"/>
      <c r="U75" s="335"/>
      <c r="V75" s="335"/>
      <c r="W75" s="335"/>
      <c r="X75" s="335"/>
      <c r="Y75" s="598"/>
      <c r="Z75" s="328"/>
      <c r="AA75" s="328"/>
      <c r="AB75" s="328"/>
      <c r="AC75" s="328"/>
      <c r="AD75" s="328"/>
      <c r="AE75" s="328"/>
      <c r="AF75" s="328"/>
      <c r="AG75" s="328"/>
      <c r="AH75" s="328"/>
      <c r="AI75" s="328"/>
      <c r="AJ75" s="328"/>
      <c r="AK75" s="328"/>
      <c r="AL75" s="328"/>
      <c r="AM75" s="328"/>
      <c r="AN75" s="328"/>
      <c r="AO75" s="328"/>
      <c r="AP75" s="328"/>
      <c r="AQ75" s="328"/>
    </row>
    <row r="76" spans="1:43" ht="14.25" customHeight="1" thickBot="1" x14ac:dyDescent="0.3">
      <c r="A76" s="604"/>
      <c r="B76" s="604"/>
      <c r="C76" s="604"/>
      <c r="D76" s="604"/>
      <c r="E76" s="604"/>
      <c r="F76" s="604"/>
      <c r="G76" s="604"/>
      <c r="H76" s="604"/>
      <c r="I76" s="604"/>
      <c r="J76" s="604"/>
      <c r="K76" s="335"/>
      <c r="L76" s="335"/>
      <c r="M76" s="335"/>
      <c r="N76" s="335"/>
      <c r="O76" s="335"/>
      <c r="P76" s="335"/>
      <c r="Q76" s="335"/>
      <c r="R76" s="335"/>
      <c r="S76" s="335"/>
      <c r="T76" s="598"/>
      <c r="U76" s="335"/>
      <c r="V76" s="335"/>
      <c r="W76" s="335"/>
      <c r="X76" s="335"/>
      <c r="Y76" s="598"/>
      <c r="Z76" s="328"/>
      <c r="AA76" s="328"/>
      <c r="AB76" s="328"/>
      <c r="AC76" s="328"/>
      <c r="AD76" s="328"/>
      <c r="AE76" s="328"/>
      <c r="AF76" s="328"/>
      <c r="AG76" s="328"/>
      <c r="AH76" s="328"/>
      <c r="AI76" s="328"/>
      <c r="AJ76" s="328"/>
      <c r="AK76" s="328"/>
      <c r="AL76" s="328"/>
      <c r="AM76" s="328"/>
      <c r="AN76" s="328"/>
      <c r="AO76" s="328"/>
      <c r="AP76" s="328"/>
      <c r="AQ76" s="328"/>
    </row>
    <row r="77" spans="1:43" customFormat="1" ht="18" thickBot="1" x14ac:dyDescent="0.35">
      <c r="A77" s="1718" t="s">
        <v>400</v>
      </c>
      <c r="B77" s="1719"/>
      <c r="C77" s="1719"/>
      <c r="D77" s="1719"/>
      <c r="E77" s="1719"/>
      <c r="F77" s="1719"/>
      <c r="G77" s="1719"/>
      <c r="H77" s="1719"/>
      <c r="I77" s="1719"/>
      <c r="J77" s="1719"/>
      <c r="K77" s="1719"/>
      <c r="L77" s="1719"/>
      <c r="M77" s="1719"/>
      <c r="N77" s="1719"/>
      <c r="O77" s="1719"/>
      <c r="P77" s="1719"/>
      <c r="Q77" s="1719"/>
      <c r="R77" s="1719"/>
      <c r="S77" s="1719"/>
      <c r="T77" s="1719"/>
      <c r="U77" s="1719"/>
      <c r="V77" s="1719"/>
      <c r="W77" s="1719"/>
      <c r="X77" s="1719"/>
      <c r="Y77" s="1719"/>
      <c r="Z77" s="1719"/>
      <c r="AA77" s="1719"/>
      <c r="AB77" s="1719"/>
      <c r="AC77" s="1719"/>
      <c r="AD77" s="1720"/>
    </row>
    <row r="78" spans="1:43" ht="26.4" x14ac:dyDescent="0.25">
      <c r="A78" s="1723" t="s">
        <v>952</v>
      </c>
      <c r="B78" s="1480" t="s">
        <v>954</v>
      </c>
      <c r="C78" s="1480" t="s">
        <v>955</v>
      </c>
      <c r="D78" s="1480" t="s">
        <v>956</v>
      </c>
      <c r="E78" s="820" t="s">
        <v>957</v>
      </c>
      <c r="F78" s="148" t="s">
        <v>954</v>
      </c>
      <c r="G78" s="1480" t="s">
        <v>955</v>
      </c>
      <c r="H78" s="1480" t="s">
        <v>956</v>
      </c>
      <c r="I78" s="1481" t="s">
        <v>957</v>
      </c>
      <c r="J78" s="820" t="s">
        <v>958</v>
      </c>
      <c r="K78" s="148" t="s">
        <v>954</v>
      </c>
      <c r="L78" s="148" t="s">
        <v>955</v>
      </c>
      <c r="M78" s="148" t="s">
        <v>956</v>
      </c>
      <c r="N78" s="1481" t="s">
        <v>1015</v>
      </c>
      <c r="O78" s="149" t="s">
        <v>958</v>
      </c>
      <c r="P78" s="148" t="s">
        <v>954</v>
      </c>
      <c r="Q78" s="148" t="s">
        <v>955</v>
      </c>
      <c r="R78" s="148" t="s">
        <v>956</v>
      </c>
      <c r="S78" s="1481" t="s">
        <v>1015</v>
      </c>
      <c r="T78" s="149" t="s">
        <v>1017</v>
      </c>
      <c r="U78" s="148" t="s">
        <v>954</v>
      </c>
      <c r="V78" s="148" t="s">
        <v>955</v>
      </c>
      <c r="W78" s="148" t="s">
        <v>956</v>
      </c>
      <c r="X78" s="1481" t="s">
        <v>1015</v>
      </c>
      <c r="Y78" s="149" t="s">
        <v>1017</v>
      </c>
      <c r="Z78" s="148" t="s">
        <v>954</v>
      </c>
      <c r="AA78" s="148" t="s">
        <v>955</v>
      </c>
      <c r="AB78" s="148" t="s">
        <v>956</v>
      </c>
      <c r="AC78" s="1481" t="s">
        <v>1015</v>
      </c>
      <c r="AD78" s="779" t="s">
        <v>1017</v>
      </c>
      <c r="AE78" s="328"/>
      <c r="AF78" s="328"/>
      <c r="AG78" s="328"/>
      <c r="AH78" s="328"/>
      <c r="AI78" s="328"/>
      <c r="AJ78" s="328"/>
      <c r="AK78" s="328"/>
      <c r="AL78" s="328"/>
      <c r="AM78" s="329"/>
      <c r="AN78" s="328"/>
      <c r="AO78" s="328"/>
      <c r="AP78" s="328"/>
      <c r="AQ78" s="328"/>
    </row>
    <row r="79" spans="1:43" ht="12.75" customHeight="1" x14ac:dyDescent="0.25">
      <c r="A79" s="1724"/>
      <c r="B79" s="1742" t="s">
        <v>1407</v>
      </c>
      <c r="C79" s="1742"/>
      <c r="D79" s="1742"/>
      <c r="E79" s="1743"/>
      <c r="F79" s="1742" t="s">
        <v>1408</v>
      </c>
      <c r="G79" s="1742"/>
      <c r="H79" s="1742"/>
      <c r="I79" s="1742"/>
      <c r="J79" s="1743"/>
      <c r="K79" s="1726" t="s">
        <v>1396</v>
      </c>
      <c r="L79" s="1727"/>
      <c r="M79" s="1727"/>
      <c r="N79" s="1727"/>
      <c r="O79" s="1728"/>
      <c r="P79" s="1727" t="s">
        <v>1397</v>
      </c>
      <c r="Q79" s="1727"/>
      <c r="R79" s="1727"/>
      <c r="S79" s="1727"/>
      <c r="T79" s="1728"/>
      <c r="U79" s="1727" t="s">
        <v>1398</v>
      </c>
      <c r="V79" s="1727"/>
      <c r="W79" s="1727"/>
      <c r="X79" s="1727"/>
      <c r="Y79" s="1728"/>
      <c r="Z79" s="1727" t="str">
        <f>+Z43</f>
        <v>Summer 2013</v>
      </c>
      <c r="AA79" s="1727"/>
      <c r="AB79" s="1727"/>
      <c r="AC79" s="1727"/>
      <c r="AD79" s="1735"/>
      <c r="AE79" s="328"/>
      <c r="AF79" s="328"/>
      <c r="AG79" s="328"/>
      <c r="AH79" s="328"/>
      <c r="AI79" s="328"/>
      <c r="AJ79" s="328"/>
      <c r="AK79" s="328"/>
      <c r="AL79" s="328"/>
      <c r="AM79" s="328"/>
      <c r="AN79" s="328"/>
      <c r="AO79" s="328"/>
      <c r="AP79" s="328"/>
      <c r="AQ79" s="328"/>
    </row>
    <row r="80" spans="1:43" x14ac:dyDescent="0.25">
      <c r="A80" s="564" t="s">
        <v>402</v>
      </c>
      <c r="B80" s="1100"/>
      <c r="C80" s="1100"/>
      <c r="D80" s="1100"/>
      <c r="E80" s="1107"/>
      <c r="F80" s="1101"/>
      <c r="G80" s="1100"/>
      <c r="H80" s="1100"/>
      <c r="I80" s="1100"/>
      <c r="J80" s="1107"/>
      <c r="K80" s="151"/>
      <c r="L80" s="152"/>
      <c r="M80" s="152"/>
      <c r="N80" s="578"/>
      <c r="O80" s="607"/>
      <c r="P80" s="151"/>
      <c r="Q80" s="152"/>
      <c r="R80" s="152"/>
      <c r="S80" s="152"/>
      <c r="T80" s="153"/>
      <c r="U80" s="151"/>
      <c r="V80" s="152"/>
      <c r="W80" s="152"/>
      <c r="X80" s="152"/>
      <c r="Y80" s="153"/>
      <c r="Z80" s="151"/>
      <c r="AA80" s="152"/>
      <c r="AB80" s="152"/>
      <c r="AC80" s="152"/>
      <c r="AD80" s="565"/>
      <c r="AE80" s="328"/>
      <c r="AF80" s="328"/>
      <c r="AG80" s="328"/>
      <c r="AH80" s="328"/>
      <c r="AI80" s="328"/>
      <c r="AJ80" s="328"/>
      <c r="AK80" s="328"/>
      <c r="AL80" s="328"/>
      <c r="AM80" s="328"/>
      <c r="AN80" s="328"/>
      <c r="AO80" s="328"/>
      <c r="AP80" s="328"/>
      <c r="AQ80" s="328"/>
    </row>
    <row r="81" spans="1:43" x14ac:dyDescent="0.25">
      <c r="A81" s="566" t="s">
        <v>1006</v>
      </c>
      <c r="B81" s="154">
        <f>+'NEW Summer CHP by DISC'!B81/15</f>
        <v>14.4</v>
      </c>
      <c r="C81" s="154">
        <f>+'NEW Summer CHP by DISC'!C81/15</f>
        <v>4.2</v>
      </c>
      <c r="D81" s="154">
        <f>+'NEW Summer CHP by DISC'!D81/12</f>
        <v>4.75</v>
      </c>
      <c r="E81" s="375">
        <f>SUM(B81:D81)</f>
        <v>23.35</v>
      </c>
      <c r="F81" s="154">
        <f>+'NEW Summer CHP by DISC'!F81/15</f>
        <v>14.4</v>
      </c>
      <c r="G81" s="154">
        <f>+'NEW Summer CHP by DISC'!G81/15</f>
        <v>6.2666666666666666</v>
      </c>
      <c r="H81" s="154">
        <f>+'NEW Summer CHP by DISC'!H81/12</f>
        <v>3.5</v>
      </c>
      <c r="I81" s="154">
        <f>SUM(F81:H81)</f>
        <v>24.166666666666668</v>
      </c>
      <c r="J81" s="616">
        <f>IF(E81&gt;0,(I81-E81)/E81,(IF(I81=0,"N/A",100%)))</f>
        <v>3.4975017844396848E-2</v>
      </c>
      <c r="K81" s="154">
        <f>+'NEW Summer CHP by DISC'!K81/15</f>
        <v>17.866666666666667</v>
      </c>
      <c r="L81" s="154">
        <f>+'NEW Summer CHP by DISC'!L81/15</f>
        <v>1.8</v>
      </c>
      <c r="M81" s="154">
        <f>+'NEW Summer CHP by DISC'!M81/12</f>
        <v>5.25</v>
      </c>
      <c r="N81" s="581">
        <f>SUM(K81:M81)</f>
        <v>24.916666666666668</v>
      </c>
      <c r="O81" s="155">
        <f>IF(I81&gt;0,(N81-I81)/I81,(IF(N81=0,"N/A",100%)))</f>
        <v>3.1034482758620689E-2</v>
      </c>
      <c r="P81" s="154">
        <f>+'NEW Summer CHP by DISC'!P81/15</f>
        <v>17.333333333333332</v>
      </c>
      <c r="Q81" s="154">
        <f>+'NEW Summer CHP by DISC'!Q81/15</f>
        <v>3.4666666666666668</v>
      </c>
      <c r="R81" s="154">
        <f>+'NEW Summer CHP by DISC'!R81/12</f>
        <v>3.75</v>
      </c>
      <c r="S81" s="154">
        <f>SUM(P81:R81)</f>
        <v>24.549999999999997</v>
      </c>
      <c r="T81" s="616">
        <f>IF(N81&gt;0,(S81-N81)/N81,(IF(S81=0,"N/A",100%)))</f>
        <v>-1.4715719063545312E-2</v>
      </c>
      <c r="U81" s="154">
        <f>+'NEW Summer CHP by DISC'!U81/15</f>
        <v>19.2</v>
      </c>
      <c r="V81" s="154">
        <f>+'NEW Summer CHP by DISC'!V81/15</f>
        <v>0</v>
      </c>
      <c r="W81" s="154">
        <f>+'NEW Summer CHP by DISC'!W81/12</f>
        <v>5.75</v>
      </c>
      <c r="X81" s="154">
        <f>SUM(U81:W81)</f>
        <v>24.95</v>
      </c>
      <c r="Y81" s="155">
        <f>IF(S81&gt;0,(X81-S81)/S81,(IF(X81=0,"N/A",100%)))</f>
        <v>1.6293279022403347E-2</v>
      </c>
      <c r="Z81" s="154">
        <f>+'NEW Summer CHP by DISC'!Z81/15</f>
        <v>1.8666666666666667</v>
      </c>
      <c r="AA81" s="154">
        <f>+'NEW Summer CHP by DISC'!AA81/15</f>
        <v>13.066666666666666</v>
      </c>
      <c r="AB81" s="154">
        <f>+'NEW Summer CHP by DISC'!AB81/12</f>
        <v>3</v>
      </c>
      <c r="AC81" s="154">
        <f>SUM(Z81:AB81)</f>
        <v>17.933333333333334</v>
      </c>
      <c r="AD81" s="567">
        <f>IF(X81&gt;0,(AC81-X81)/X81,(IF(AC81=0,"N/A",100%)))</f>
        <v>-0.28122912491649965</v>
      </c>
      <c r="AE81" s="328"/>
      <c r="AF81" s="328"/>
      <c r="AG81" s="328"/>
      <c r="AH81" s="328"/>
      <c r="AI81" s="328"/>
      <c r="AJ81" s="328"/>
      <c r="AK81" s="328"/>
      <c r="AL81" s="328"/>
      <c r="AM81" s="328"/>
      <c r="AN81" s="328"/>
      <c r="AO81" s="328"/>
      <c r="AP81" s="328"/>
      <c r="AQ81" s="328"/>
    </row>
    <row r="82" spans="1:43" x14ac:dyDescent="0.25">
      <c r="A82" s="566" t="s">
        <v>1301</v>
      </c>
      <c r="B82" s="154">
        <f>+'NEW Summer CHP by DISC'!B82/15</f>
        <v>0</v>
      </c>
      <c r="C82" s="154">
        <f>+'NEW Summer CHP by DISC'!C82/15</f>
        <v>0</v>
      </c>
      <c r="D82" s="154">
        <f>+'NEW Summer CHP by DISC'!D82/12</f>
        <v>0</v>
      </c>
      <c r="E82" s="375">
        <f>SUM(B82:D82)</f>
        <v>0</v>
      </c>
      <c r="F82" s="154">
        <f>+'NEW Summer CHP by DISC'!F82/15</f>
        <v>0</v>
      </c>
      <c r="G82" s="154">
        <f>+'NEW Summer CHP by DISC'!G82/15</f>
        <v>0</v>
      </c>
      <c r="H82" s="154">
        <f>+'NEW Summer CHP by DISC'!H82/12</f>
        <v>0</v>
      </c>
      <c r="I82" s="154">
        <f>SUM(F82:H82)</f>
        <v>0</v>
      </c>
      <c r="J82" s="616" t="str">
        <f>IF(E82&gt;0,(I82-E82)/E82,(IF(I82=0,"N/A",100%)))</f>
        <v>N/A</v>
      </c>
      <c r="K82" s="154">
        <f>+'NEW Summer CHP by DISC'!K82/15</f>
        <v>0</v>
      </c>
      <c r="L82" s="154">
        <f>+'NEW Summer CHP by DISC'!L82/15</f>
        <v>0</v>
      </c>
      <c r="M82" s="154">
        <f>+'NEW Summer CHP by DISC'!M82/12</f>
        <v>0</v>
      </c>
      <c r="N82" s="581">
        <f>SUM(K82:M82)</f>
        <v>0</v>
      </c>
      <c r="O82" s="155" t="str">
        <f>IF(I82&gt;0,(N82-I82)/I82,(IF(N82=0,"N/A",100%)))</f>
        <v>N/A</v>
      </c>
      <c r="P82" s="154">
        <f>+'NEW Summer CHP by DISC'!P82/15</f>
        <v>0</v>
      </c>
      <c r="Q82" s="154">
        <f>+'NEW Summer CHP by DISC'!Q82/15</f>
        <v>0</v>
      </c>
      <c r="R82" s="154">
        <f>+'NEW Summer CHP by DISC'!R82/12</f>
        <v>0</v>
      </c>
      <c r="S82" s="154">
        <f>SUM(P82:R82)</f>
        <v>0</v>
      </c>
      <c r="T82" s="616" t="str">
        <f>IF(N82&gt;0,(S82-N82)/N82,(IF(S82=0,"N/A",100%)))</f>
        <v>N/A</v>
      </c>
      <c r="U82" s="154">
        <f>+'NEW Summer CHP by DISC'!U82/15</f>
        <v>0</v>
      </c>
      <c r="V82" s="154">
        <f>+'NEW Summer CHP by DISC'!V82/15</f>
        <v>0</v>
      </c>
      <c r="W82" s="154">
        <f>+'NEW Summer CHP by DISC'!W82/12</f>
        <v>0</v>
      </c>
      <c r="X82" s="154">
        <f>SUM(U82:W82)</f>
        <v>0</v>
      </c>
      <c r="Y82" s="155" t="str">
        <f>IF(S82&gt;0,(X82-S82)/S82,(IF(X82=0,"N/A",100%)))</f>
        <v>N/A</v>
      </c>
      <c r="Z82" s="154">
        <f>+'NEW Summer CHP by DISC'!Z82/15</f>
        <v>0</v>
      </c>
      <c r="AA82" s="154">
        <f>+'NEW Summer CHP by DISC'!AA82/15</f>
        <v>0</v>
      </c>
      <c r="AB82" s="154">
        <f>+'NEW Summer CHP by DISC'!AB82/12</f>
        <v>0</v>
      </c>
      <c r="AC82" s="154">
        <f>SUM(Z82:AB82)</f>
        <v>0</v>
      </c>
      <c r="AD82" s="567" t="str">
        <f>IF(X82&gt;0,(AC82-X82)/X82,(IF(AC82=0,"N/A",100%)))</f>
        <v>N/A</v>
      </c>
      <c r="AE82" s="328"/>
      <c r="AF82" s="328"/>
      <c r="AG82" s="328"/>
      <c r="AH82" s="328"/>
      <c r="AI82" s="328"/>
      <c r="AJ82" s="328"/>
      <c r="AK82" s="328"/>
      <c r="AL82" s="328"/>
      <c r="AM82" s="328"/>
      <c r="AN82" s="328"/>
      <c r="AO82" s="328"/>
      <c r="AP82" s="328"/>
      <c r="AQ82" s="328"/>
    </row>
    <row r="83" spans="1:43" ht="13.8" x14ac:dyDescent="0.25">
      <c r="A83" s="615" t="s">
        <v>961</v>
      </c>
      <c r="B83" s="611">
        <f>+B82+B81</f>
        <v>14.4</v>
      </c>
      <c r="C83" s="611">
        <f>+C82+C81</f>
        <v>4.2</v>
      </c>
      <c r="D83" s="611">
        <f>+D82+D81</f>
        <v>4.75</v>
      </c>
      <c r="E83" s="587">
        <f>SUM(B83:D83)</f>
        <v>23.35</v>
      </c>
      <c r="F83" s="611">
        <f>+F82+F81</f>
        <v>14.4</v>
      </c>
      <c r="G83" s="611">
        <f>+G82+G81</f>
        <v>6.2666666666666666</v>
      </c>
      <c r="H83" s="611">
        <f>+H82+H81</f>
        <v>3.5</v>
      </c>
      <c r="I83" s="611">
        <f>+I82+I81</f>
        <v>24.166666666666668</v>
      </c>
      <c r="J83" s="668">
        <f>IF(E83&gt;0,(I83-E83)/E83,(IF(I83=0,"N/A",100%)))</f>
        <v>3.4975017844396848E-2</v>
      </c>
      <c r="K83" s="611">
        <f>+K82+K81</f>
        <v>17.866666666666667</v>
      </c>
      <c r="L83" s="611">
        <f>+L82+L81</f>
        <v>1.8</v>
      </c>
      <c r="M83" s="611">
        <f>+M82+M81</f>
        <v>5.25</v>
      </c>
      <c r="N83" s="586">
        <f>SUM(K83:M83)</f>
        <v>24.916666666666668</v>
      </c>
      <c r="O83" s="613">
        <f>IF(I83&gt;0,(N83-I83)/I83,(IF(N83=0,"N/A",100%)))</f>
        <v>3.1034482758620689E-2</v>
      </c>
      <c r="P83" s="611">
        <f>+P82+P81</f>
        <v>17.333333333333332</v>
      </c>
      <c r="Q83" s="611">
        <f>+Q82+Q81</f>
        <v>3.4666666666666668</v>
      </c>
      <c r="R83" s="611">
        <f>+R82+R81</f>
        <v>3.75</v>
      </c>
      <c r="S83" s="611">
        <f>+S82+S81</f>
        <v>24.549999999999997</v>
      </c>
      <c r="T83" s="668">
        <f>IF(N83&gt;0,(S83-N83)/N83,(IF(S83=0,"N/A",100%)))</f>
        <v>-1.4715719063545312E-2</v>
      </c>
      <c r="U83" s="611">
        <f>+U82+U81</f>
        <v>19.2</v>
      </c>
      <c r="V83" s="611">
        <f>+V82+V81</f>
        <v>0</v>
      </c>
      <c r="W83" s="611">
        <f>+W82+W81</f>
        <v>5.75</v>
      </c>
      <c r="X83" s="611">
        <f>+X82+X81</f>
        <v>24.95</v>
      </c>
      <c r="Y83" s="613">
        <f>IF(S83&gt;0,(X83-S83)/S83,(IF(X83=0,"N/A",100%)))</f>
        <v>1.6293279022403347E-2</v>
      </c>
      <c r="Z83" s="611">
        <f>+Z82+Z81</f>
        <v>1.8666666666666667</v>
      </c>
      <c r="AA83" s="611">
        <f>+AA82+AA81</f>
        <v>13.066666666666666</v>
      </c>
      <c r="AB83" s="611">
        <f>+AB82+AB81</f>
        <v>3</v>
      </c>
      <c r="AC83" s="611">
        <f>+AC82+AC81</f>
        <v>17.933333333333334</v>
      </c>
      <c r="AD83" s="614">
        <f>IF(X83&gt;0,(AC83-X83)/X83,(IF(AC83=0,"N/A",100%)))</f>
        <v>-0.28122912491649965</v>
      </c>
      <c r="AE83" s="328"/>
      <c r="AF83" s="328"/>
      <c r="AG83" s="328"/>
      <c r="AH83" s="328"/>
      <c r="AI83" s="328"/>
      <c r="AJ83" s="328"/>
      <c r="AK83" s="328"/>
      <c r="AL83" s="328"/>
      <c r="AM83" s="328"/>
      <c r="AN83" s="328"/>
      <c r="AO83" s="328"/>
      <c r="AP83" s="328"/>
      <c r="AQ83" s="328"/>
    </row>
    <row r="84" spans="1:43" x14ac:dyDescent="0.25">
      <c r="A84" s="564" t="s">
        <v>403</v>
      </c>
      <c r="B84" s="151"/>
      <c r="C84" s="152"/>
      <c r="D84" s="152"/>
      <c r="E84" s="330"/>
      <c r="F84" s="151"/>
      <c r="G84" s="152"/>
      <c r="H84" s="152"/>
      <c r="I84" s="152"/>
      <c r="J84" s="153"/>
      <c r="K84" s="151"/>
      <c r="L84" s="152"/>
      <c r="M84" s="152"/>
      <c r="N84" s="1208"/>
      <c r="O84" s="153"/>
      <c r="P84" s="151"/>
      <c r="Q84" s="152"/>
      <c r="R84" s="152"/>
      <c r="S84" s="152"/>
      <c r="T84" s="153"/>
      <c r="U84" s="151"/>
      <c r="V84" s="152"/>
      <c r="W84" s="152"/>
      <c r="X84" s="152"/>
      <c r="Y84" s="153"/>
      <c r="Z84" s="151"/>
      <c r="AA84" s="152"/>
      <c r="AB84" s="152"/>
      <c r="AC84" s="152"/>
      <c r="AD84" s="565"/>
      <c r="AE84" s="328"/>
      <c r="AF84" s="328"/>
      <c r="AG84" s="328"/>
      <c r="AH84" s="328"/>
      <c r="AI84" s="328"/>
      <c r="AJ84" s="328"/>
      <c r="AK84" s="328"/>
      <c r="AL84" s="328"/>
      <c r="AM84" s="328"/>
      <c r="AN84" s="328"/>
      <c r="AO84" s="328"/>
      <c r="AP84" s="328"/>
      <c r="AQ84" s="328"/>
    </row>
    <row r="85" spans="1:43" x14ac:dyDescent="0.25">
      <c r="A85" s="566" t="s">
        <v>1302</v>
      </c>
      <c r="B85" s="154">
        <f>+'NEW Summer CHP by DISC'!B85/15</f>
        <v>3.8</v>
      </c>
      <c r="C85" s="154">
        <f>+'NEW Summer CHP by DISC'!C85/15</f>
        <v>0</v>
      </c>
      <c r="D85" s="154">
        <f>+'NEW Summer CHP by DISC'!D85/12</f>
        <v>0</v>
      </c>
      <c r="E85" s="331">
        <f>SUM(B85:D85)</f>
        <v>3.8</v>
      </c>
      <c r="F85" s="154">
        <f>+'NEW Summer CHP by DISC'!F85/15</f>
        <v>4.5999999999999996</v>
      </c>
      <c r="G85" s="154">
        <f>+'NEW Summer CHP by DISC'!G85/15</f>
        <v>0</v>
      </c>
      <c r="H85" s="154">
        <f>+'NEW Summer CHP by DISC'!H85/12</f>
        <v>0</v>
      </c>
      <c r="I85" s="154">
        <f>SUM(F85:H85)</f>
        <v>4.5999999999999996</v>
      </c>
      <c r="J85" s="155">
        <f>IF(E85&gt;0,(I85-E85)/E85,(IF(I85=0,"N/A",100%)))</f>
        <v>0.21052631578947364</v>
      </c>
      <c r="K85" s="154">
        <f>+'NEW Summer CHP by DISC'!K85/15</f>
        <v>7</v>
      </c>
      <c r="L85" s="154">
        <f>+'NEW Summer CHP by DISC'!L85/15</f>
        <v>0</v>
      </c>
      <c r="M85" s="154">
        <f>+'NEW Summer CHP by DISC'!M85/12</f>
        <v>0</v>
      </c>
      <c r="N85" s="1209">
        <f>SUM(K85:M85)</f>
        <v>7</v>
      </c>
      <c r="O85" s="155">
        <f>IF(I85&gt;0,(N85-I85)/I85,(IF(N85=0,"N/A",100%)))</f>
        <v>0.52173913043478271</v>
      </c>
      <c r="P85" s="154">
        <f>+'NEW Summer CHP by DISC'!P85/15</f>
        <v>4.2</v>
      </c>
      <c r="Q85" s="154">
        <f>+'NEW Summer CHP by DISC'!Q85/15</f>
        <v>0</v>
      </c>
      <c r="R85" s="154">
        <f>+'NEW Summer CHP by DISC'!R85/12</f>
        <v>0</v>
      </c>
      <c r="S85" s="154">
        <f>SUM(P85:R85)</f>
        <v>4.2</v>
      </c>
      <c r="T85" s="155">
        <f>IF(N85&gt;0,(S85-N85)/N85,(IF(S85=0,"N/A",100%)))</f>
        <v>-0.39999999999999997</v>
      </c>
      <c r="U85" s="154">
        <f>+'NEW Summer CHP by DISC'!U85/15</f>
        <v>4.8</v>
      </c>
      <c r="V85" s="154">
        <f>+'NEW Summer CHP by DISC'!V85/15</f>
        <v>0</v>
      </c>
      <c r="W85" s="154">
        <f>+'NEW Summer CHP by DISC'!W85/12</f>
        <v>0</v>
      </c>
      <c r="X85" s="154">
        <f>SUM(U85:W85)</f>
        <v>4.8</v>
      </c>
      <c r="Y85" s="155">
        <f>IF(S85&gt;0,(X85-S85)/S85,(IF(X85=0,"N/A",100%)))</f>
        <v>0.14285714285714277</v>
      </c>
      <c r="Z85" s="154">
        <f>+'NEW Summer CHP by DISC'!Z85/15</f>
        <v>3</v>
      </c>
      <c r="AA85" s="154">
        <f>+'NEW Summer CHP by DISC'!AA85/15</f>
        <v>0</v>
      </c>
      <c r="AB85" s="154">
        <f>+'NEW Summer CHP by DISC'!AB85/12</f>
        <v>0</v>
      </c>
      <c r="AC85" s="154">
        <f>SUM(Z85:AB85)</f>
        <v>3</v>
      </c>
      <c r="AD85" s="567">
        <f>IF(X85&gt;0,(AC85-X85)/X85,(IF(AC85=0,"N/A",100%)))</f>
        <v>-0.375</v>
      </c>
      <c r="AE85" s="328"/>
      <c r="AF85" s="328"/>
      <c r="AG85" s="328"/>
      <c r="AH85" s="328"/>
      <c r="AI85" s="328"/>
      <c r="AJ85" s="328"/>
      <c r="AK85" s="328"/>
      <c r="AL85" s="328"/>
      <c r="AM85" s="328"/>
      <c r="AN85" s="328"/>
      <c r="AO85" s="328"/>
      <c r="AP85" s="328"/>
      <c r="AQ85" s="328"/>
    </row>
    <row r="86" spans="1:43" x14ac:dyDescent="0.25">
      <c r="A86" s="566" t="s">
        <v>799</v>
      </c>
      <c r="B86" s="154">
        <f>+'NEW Summer CHP by DISC'!B86/15</f>
        <v>10.199999999999999</v>
      </c>
      <c r="C86" s="154">
        <f>+'NEW Summer CHP by DISC'!C86/15</f>
        <v>0</v>
      </c>
      <c r="D86" s="154">
        <f>+'NEW Summer CHP by DISC'!D86/12</f>
        <v>0</v>
      </c>
      <c r="E86" s="375">
        <f>SUM(B86:D86)</f>
        <v>10.199999999999999</v>
      </c>
      <c r="F86" s="154">
        <f>+'NEW Summer CHP by DISC'!F86/15</f>
        <v>10.4</v>
      </c>
      <c r="G86" s="154">
        <f>+'NEW Summer CHP by DISC'!G86/15</f>
        <v>1</v>
      </c>
      <c r="H86" s="154">
        <f>+'NEW Summer CHP by DISC'!H86/12</f>
        <v>0</v>
      </c>
      <c r="I86" s="154">
        <f>SUM(F86:H86)</f>
        <v>11.4</v>
      </c>
      <c r="J86" s="155">
        <f>IF(E86&gt;0,(I86-E86)/E86,(IF(I86=0,"N/A",100%)))</f>
        <v>0.11764705882352952</v>
      </c>
      <c r="K86" s="154">
        <f>+'NEW Summer CHP by DISC'!K86/15</f>
        <v>16</v>
      </c>
      <c r="L86" s="154">
        <f>+'NEW Summer CHP by DISC'!L86/15</f>
        <v>0</v>
      </c>
      <c r="M86" s="154">
        <f>+'NEW Summer CHP by DISC'!M86/12</f>
        <v>0</v>
      </c>
      <c r="N86" s="581">
        <f>SUM(K86:M86)</f>
        <v>16</v>
      </c>
      <c r="O86" s="155">
        <f>IF(I86&gt;0,(N86-I86)/I86,(IF(N86=0,"N/A",100%)))</f>
        <v>0.40350877192982454</v>
      </c>
      <c r="P86" s="154">
        <f>+'NEW Summer CHP by DISC'!P86/15</f>
        <v>15</v>
      </c>
      <c r="Q86" s="154">
        <f>+'NEW Summer CHP by DISC'!Q86/15</f>
        <v>0</v>
      </c>
      <c r="R86" s="154">
        <f>+'NEW Summer CHP by DISC'!R86/12</f>
        <v>0</v>
      </c>
      <c r="S86" s="154">
        <f>SUM(P86:R86)</f>
        <v>15</v>
      </c>
      <c r="T86" s="155">
        <f>IF(N86&gt;0,(S86-N86)/N86,(IF(S86=0,"N/A",100%)))</f>
        <v>-6.25E-2</v>
      </c>
      <c r="U86" s="154">
        <f>+'NEW Summer CHP by DISC'!U86/15</f>
        <v>10.199999999999999</v>
      </c>
      <c r="V86" s="154">
        <f>+'NEW Summer CHP by DISC'!V86/15</f>
        <v>0.8</v>
      </c>
      <c r="W86" s="154">
        <f>+'NEW Summer CHP by DISC'!W86/12</f>
        <v>0</v>
      </c>
      <c r="X86" s="154">
        <f>SUM(U86:W86)</f>
        <v>11</v>
      </c>
      <c r="Y86" s="155">
        <f>IF(S86&gt;0,(X86-S86)/S86,(IF(X86=0,"N/A",100%)))</f>
        <v>-0.26666666666666666</v>
      </c>
      <c r="Z86" s="154">
        <f>+'NEW Summer CHP by DISC'!Z86/15</f>
        <v>8.4</v>
      </c>
      <c r="AA86" s="154">
        <f>+'NEW Summer CHP by DISC'!AA86/15</f>
        <v>3.6</v>
      </c>
      <c r="AB86" s="154">
        <f>+'NEW Summer CHP by DISC'!AB86/12</f>
        <v>0</v>
      </c>
      <c r="AC86" s="154">
        <f>SUM(Z86:AB86)</f>
        <v>12</v>
      </c>
      <c r="AD86" s="567">
        <f>IF(X86&gt;0,(AC86-X86)/X86,(IF(AC86=0,"N/A",100%)))</f>
        <v>9.0909090909090912E-2</v>
      </c>
      <c r="AE86" s="328"/>
      <c r="AF86" s="328"/>
      <c r="AG86" s="328"/>
      <c r="AH86" s="328"/>
      <c r="AI86" s="328"/>
      <c r="AJ86" s="328"/>
      <c r="AK86" s="328"/>
      <c r="AL86" s="328"/>
      <c r="AM86" s="328"/>
      <c r="AN86" s="328"/>
      <c r="AO86" s="328"/>
      <c r="AP86" s="328"/>
      <c r="AQ86" s="328"/>
    </row>
    <row r="87" spans="1:43" s="575" customFormat="1" ht="13.8" x14ac:dyDescent="0.25">
      <c r="A87" s="615" t="s">
        <v>961</v>
      </c>
      <c r="B87" s="611">
        <f t="shared" ref="B87:I87" si="74">SUM(B85:B86)</f>
        <v>14</v>
      </c>
      <c r="C87" s="611">
        <f t="shared" si="74"/>
        <v>0</v>
      </c>
      <c r="D87" s="611">
        <f t="shared" si="74"/>
        <v>0</v>
      </c>
      <c r="E87" s="612">
        <f t="shared" si="74"/>
        <v>14</v>
      </c>
      <c r="F87" s="611">
        <f t="shared" si="74"/>
        <v>15</v>
      </c>
      <c r="G87" s="611">
        <f t="shared" si="74"/>
        <v>1</v>
      </c>
      <c r="H87" s="611">
        <f t="shared" si="74"/>
        <v>0</v>
      </c>
      <c r="I87" s="611">
        <f t="shared" si="74"/>
        <v>16</v>
      </c>
      <c r="J87" s="613">
        <f>IF(E87&gt;0,(I87-E87)/E87,(IF(I87=0,"N/A",100%)))</f>
        <v>0.14285714285714285</v>
      </c>
      <c r="K87" s="611">
        <f t="shared" ref="K87:S87" si="75">SUM(K85:K86)</f>
        <v>23</v>
      </c>
      <c r="L87" s="611">
        <f t="shared" si="75"/>
        <v>0</v>
      </c>
      <c r="M87" s="611">
        <f t="shared" si="75"/>
        <v>0</v>
      </c>
      <c r="N87" s="1212">
        <f t="shared" si="75"/>
        <v>23</v>
      </c>
      <c r="O87" s="613">
        <f>IF(I87&gt;0,(N87-I87)/I87,(IF(N87=0,"N/A",100%)))</f>
        <v>0.4375</v>
      </c>
      <c r="P87" s="611">
        <f t="shared" si="75"/>
        <v>19.2</v>
      </c>
      <c r="Q87" s="611">
        <f t="shared" si="75"/>
        <v>0</v>
      </c>
      <c r="R87" s="611">
        <f t="shared" si="75"/>
        <v>0</v>
      </c>
      <c r="S87" s="611">
        <f t="shared" si="75"/>
        <v>19.2</v>
      </c>
      <c r="T87" s="613">
        <f>IF(N87&gt;0,(S87-N87)/N87,(IF(S87=0,"N/A",100%)))</f>
        <v>-0.16521739130434784</v>
      </c>
      <c r="U87" s="611">
        <f>SUM(U85:U86)</f>
        <v>15</v>
      </c>
      <c r="V87" s="611">
        <f>SUM(V85:V86)</f>
        <v>0.8</v>
      </c>
      <c r="W87" s="611">
        <f>SUM(W85:W86)</f>
        <v>0</v>
      </c>
      <c r="X87" s="611">
        <f>SUM(X85:X86)</f>
        <v>15.8</v>
      </c>
      <c r="Y87" s="613">
        <f>IF(S87&gt;0,(X87-S87)/S87,(IF(X87=0,"N/A",100%)))</f>
        <v>-0.17708333333333326</v>
      </c>
      <c r="Z87" s="611">
        <f>SUM(Z85:Z86)</f>
        <v>11.4</v>
      </c>
      <c r="AA87" s="611">
        <f>SUM(AA85:AA86)</f>
        <v>3.6</v>
      </c>
      <c r="AB87" s="611">
        <f>SUM(AB85:AB86)</f>
        <v>0</v>
      </c>
      <c r="AC87" s="611">
        <f>SUM(AC85:AC86)</f>
        <v>15</v>
      </c>
      <c r="AD87" s="614">
        <f>IF(X87&gt;0,(AC87-X87)/X87,(IF(AC87=0,"N/A",100%)))</f>
        <v>-5.0632911392405104E-2</v>
      </c>
    </row>
    <row r="88" spans="1:43" customFormat="1" x14ac:dyDescent="0.25">
      <c r="A88" s="640" t="s">
        <v>405</v>
      </c>
      <c r="B88" s="617"/>
      <c r="C88" s="617"/>
      <c r="D88" s="617"/>
      <c r="E88" s="618"/>
      <c r="F88" s="617"/>
      <c r="G88" s="617"/>
      <c r="H88" s="617"/>
      <c r="I88" s="617"/>
      <c r="J88" s="618"/>
      <c r="K88" s="617"/>
      <c r="L88" s="617"/>
      <c r="M88" s="617"/>
      <c r="N88" s="617"/>
      <c r="O88" s="1213"/>
      <c r="P88" s="619"/>
      <c r="Q88" s="617"/>
      <c r="R88" s="617"/>
      <c r="S88" s="617"/>
      <c r="T88" s="618"/>
      <c r="U88" s="617"/>
      <c r="V88" s="617"/>
      <c r="W88" s="617"/>
      <c r="X88" s="617"/>
      <c r="Y88" s="618"/>
      <c r="Z88" s="619"/>
      <c r="AA88" s="617"/>
      <c r="AB88" s="617"/>
      <c r="AC88" s="617"/>
      <c r="AD88" s="620"/>
    </row>
    <row r="89" spans="1:43" x14ac:dyDescent="0.25">
      <c r="A89" s="566" t="s">
        <v>1007</v>
      </c>
      <c r="B89" s="154">
        <f>+'NEW Summer CHP by DISC'!B89/15</f>
        <v>12.8</v>
      </c>
      <c r="C89" s="154">
        <f>+'NEW Summer CHP by DISC'!C89/15</f>
        <v>0</v>
      </c>
      <c r="D89" s="154">
        <f>+'NEW Summer CHP by DISC'!D89/12</f>
        <v>0</v>
      </c>
      <c r="E89" s="375">
        <f>SUM(B89:D89)</f>
        <v>12.8</v>
      </c>
      <c r="F89" s="154">
        <f>+'NEW Summer CHP by DISC'!F89/15</f>
        <v>21.866666666666667</v>
      </c>
      <c r="G89" s="154">
        <f>+'NEW Summer CHP by DISC'!G89/15</f>
        <v>0</v>
      </c>
      <c r="H89" s="154">
        <f>+'NEW Summer CHP by DISC'!H89/12</f>
        <v>0</v>
      </c>
      <c r="I89" s="581">
        <f>SUM(F89:H89)</f>
        <v>21.866666666666667</v>
      </c>
      <c r="J89" s="582">
        <f t="shared" ref="J89:J94" si="76">IF(E89&gt;0,(I89-E89)/E89,(IF(I89=0,"N/A",100%)))</f>
        <v>0.70833333333333326</v>
      </c>
      <c r="K89" s="154">
        <f>+'NEW Summer CHP by DISC'!K89/15</f>
        <v>16.8</v>
      </c>
      <c r="L89" s="154">
        <f>+'NEW Summer CHP by DISC'!L89/15</f>
        <v>0.26666666666666666</v>
      </c>
      <c r="M89" s="154">
        <f>+'NEW Summer CHP by DISC'!M89/12</f>
        <v>0</v>
      </c>
      <c r="N89" s="581">
        <f>SUM(K89:M89)</f>
        <v>17.066666666666666</v>
      </c>
      <c r="O89" s="155">
        <f t="shared" ref="O89:O94" si="77">IF(I89&gt;0,(N89-I89)/I89,(IF(N89=0,"N/A",100%)))</f>
        <v>-0.21951219512195125</v>
      </c>
      <c r="P89" s="154">
        <f>+'NEW Summer CHP by DISC'!P89/15</f>
        <v>18.133333333333333</v>
      </c>
      <c r="Q89" s="154">
        <f>+'NEW Summer CHP by DISC'!Q89/15</f>
        <v>0</v>
      </c>
      <c r="R89" s="154">
        <f>+'NEW Summer CHP by DISC'!R89/12</f>
        <v>0</v>
      </c>
      <c r="S89" s="581">
        <f>SUM(P89:R89)</f>
        <v>18.133333333333333</v>
      </c>
      <c r="T89" s="582">
        <f t="shared" ref="T89:T94" si="78">IF(N89&gt;0,(S89-N89)/N89,(IF(S89=0,"N/A",100%)))</f>
        <v>6.2499999999999986E-2</v>
      </c>
      <c r="U89" s="154">
        <f>+'NEW Summer CHP by DISC'!U89/15</f>
        <v>15.733333333333333</v>
      </c>
      <c r="V89" s="154">
        <f>+'NEW Summer CHP by DISC'!V89/15</f>
        <v>0</v>
      </c>
      <c r="W89" s="154">
        <f>+'NEW Summer CHP by DISC'!W89/12</f>
        <v>0</v>
      </c>
      <c r="X89" s="581">
        <f>SUM(U89:W89)</f>
        <v>15.733333333333333</v>
      </c>
      <c r="Y89" s="582">
        <f t="shared" ref="Y89:Y94" si="79">IF(S89&gt;0,(X89-S89)/S89,(IF(X89=0,"N/A",100%)))</f>
        <v>-0.13235294117647062</v>
      </c>
      <c r="Z89" s="154">
        <f>+'NEW Summer CHP by DISC'!Z89/15</f>
        <v>6.9333333333333336</v>
      </c>
      <c r="AA89" s="154">
        <f>+'NEW Summer CHP by DISC'!AA89/15</f>
        <v>3.7333333333333334</v>
      </c>
      <c r="AB89" s="154">
        <f>+'NEW Summer CHP by DISC'!AB89/12</f>
        <v>0</v>
      </c>
      <c r="AC89" s="581">
        <f>SUM(Z89:AB89)</f>
        <v>10.666666666666668</v>
      </c>
      <c r="AD89" s="583">
        <f t="shared" ref="AD89:AD94" si="80">IF(X89&gt;0,(AC89-X89)/X89,(IF(AC89=0,"N/A",100%)))</f>
        <v>-0.32203389830508461</v>
      </c>
      <c r="AE89" s="328"/>
      <c r="AF89" s="328"/>
      <c r="AG89" s="328"/>
      <c r="AH89" s="328"/>
      <c r="AI89" s="328"/>
      <c r="AJ89" s="328"/>
      <c r="AK89" s="328"/>
      <c r="AL89" s="328"/>
      <c r="AM89" s="328"/>
      <c r="AN89" s="328"/>
      <c r="AO89" s="328"/>
      <c r="AP89" s="328"/>
      <c r="AQ89" s="328"/>
    </row>
    <row r="90" spans="1:43" x14ac:dyDescent="0.25">
      <c r="A90" s="566" t="s">
        <v>1008</v>
      </c>
      <c r="B90" s="154">
        <f>+'NEW Summer CHP by DISC'!B90/15</f>
        <v>1.6666666666666667</v>
      </c>
      <c r="C90" s="154">
        <f>+'NEW Summer CHP by DISC'!C90/15</f>
        <v>0</v>
      </c>
      <c r="D90" s="154">
        <f>+'NEW Summer CHP by DISC'!D90/12</f>
        <v>0</v>
      </c>
      <c r="E90" s="375">
        <f>SUM(B90:D90)</f>
        <v>1.6666666666666667</v>
      </c>
      <c r="F90" s="154">
        <f>+'NEW Summer CHP by DISC'!F90/15</f>
        <v>1.2</v>
      </c>
      <c r="G90" s="154">
        <f>+'NEW Summer CHP by DISC'!G90/15</f>
        <v>0</v>
      </c>
      <c r="H90" s="154">
        <f>+'NEW Summer CHP by DISC'!H90/12</f>
        <v>0</v>
      </c>
      <c r="I90" s="581">
        <f>SUM(F90:H90)</f>
        <v>1.2</v>
      </c>
      <c r="J90" s="582">
        <f t="shared" si="76"/>
        <v>-0.28000000000000008</v>
      </c>
      <c r="K90" s="154">
        <f>+'NEW Summer CHP by DISC'!K90/15</f>
        <v>1.2</v>
      </c>
      <c r="L90" s="154">
        <f>+'NEW Summer CHP by DISC'!L90/15</f>
        <v>0</v>
      </c>
      <c r="M90" s="154">
        <f>+'NEW Summer CHP by DISC'!M90/12</f>
        <v>0</v>
      </c>
      <c r="N90" s="581">
        <f>SUM(K90:M90)</f>
        <v>1.2</v>
      </c>
      <c r="O90" s="155">
        <f t="shared" si="77"/>
        <v>0</v>
      </c>
      <c r="P90" s="154">
        <f>+'NEW Summer CHP by DISC'!P90/15</f>
        <v>0</v>
      </c>
      <c r="Q90" s="154">
        <f>+'NEW Summer CHP by DISC'!Q90/15</f>
        <v>0</v>
      </c>
      <c r="R90" s="154">
        <f>+'NEW Summer CHP by DISC'!R90/12</f>
        <v>0</v>
      </c>
      <c r="S90" s="581">
        <f>SUM(P90:R90)</f>
        <v>0</v>
      </c>
      <c r="T90" s="582">
        <f t="shared" si="78"/>
        <v>-1</v>
      </c>
      <c r="U90" s="154">
        <f>+'NEW Summer CHP by DISC'!U90/15</f>
        <v>0</v>
      </c>
      <c r="V90" s="154">
        <f>+'NEW Summer CHP by DISC'!V90/15</f>
        <v>0</v>
      </c>
      <c r="W90" s="154">
        <f>+'NEW Summer CHP by DISC'!W90/12</f>
        <v>0</v>
      </c>
      <c r="X90" s="581">
        <f>SUM(U90:W90)</f>
        <v>0</v>
      </c>
      <c r="Y90" s="582" t="str">
        <f t="shared" si="79"/>
        <v>N/A</v>
      </c>
      <c r="Z90" s="154">
        <f>+'NEW Summer CHP by DISC'!Z90/15</f>
        <v>0</v>
      </c>
      <c r="AA90" s="154">
        <f>+'NEW Summer CHP by DISC'!AA90/15</f>
        <v>0</v>
      </c>
      <c r="AB90" s="154">
        <f>+'NEW Summer CHP by DISC'!AB90/12</f>
        <v>0</v>
      </c>
      <c r="AC90" s="581">
        <f>SUM(Z90:AB90)</f>
        <v>0</v>
      </c>
      <c r="AD90" s="583" t="str">
        <f t="shared" si="80"/>
        <v>N/A</v>
      </c>
      <c r="AE90" s="328"/>
      <c r="AF90" s="328"/>
      <c r="AG90" s="328"/>
      <c r="AH90" s="328"/>
      <c r="AI90" s="328"/>
      <c r="AJ90" s="328"/>
      <c r="AK90" s="328"/>
      <c r="AL90" s="328"/>
      <c r="AM90" s="328"/>
      <c r="AN90" s="328"/>
      <c r="AO90" s="328"/>
      <c r="AP90" s="328"/>
      <c r="AQ90" s="328"/>
    </row>
    <row r="91" spans="1:43" x14ac:dyDescent="0.25">
      <c r="A91" s="566" t="s">
        <v>1009</v>
      </c>
      <c r="B91" s="154">
        <f>+'NEW Summer CHP by DISC'!B91/15</f>
        <v>0</v>
      </c>
      <c r="C91" s="154">
        <f>+'NEW Summer CHP by DISC'!C91/15</f>
        <v>0</v>
      </c>
      <c r="D91" s="154">
        <f>+'NEW Summer CHP by DISC'!D91/12</f>
        <v>0</v>
      </c>
      <c r="E91" s="375">
        <f>SUM(B91:D91)</f>
        <v>0</v>
      </c>
      <c r="F91" s="154">
        <f>+'NEW Summer CHP by DISC'!F91/15</f>
        <v>0</v>
      </c>
      <c r="G91" s="154">
        <f>+'NEW Summer CHP by DISC'!G91/15</f>
        <v>0</v>
      </c>
      <c r="H91" s="154">
        <f>+'NEW Summer CHP by DISC'!H91/12</f>
        <v>0</v>
      </c>
      <c r="I91" s="581">
        <f>SUM(F91:H91)</f>
        <v>0</v>
      </c>
      <c r="J91" s="582" t="str">
        <f t="shared" si="76"/>
        <v>N/A</v>
      </c>
      <c r="K91" s="154">
        <f>+'NEW Summer CHP by DISC'!K91/15</f>
        <v>0</v>
      </c>
      <c r="L91" s="154">
        <f>+'NEW Summer CHP by DISC'!L91/15</f>
        <v>0</v>
      </c>
      <c r="M91" s="154">
        <f>+'NEW Summer CHP by DISC'!M91/12</f>
        <v>0</v>
      </c>
      <c r="N91" s="581">
        <f>SUM(K91:M91)</f>
        <v>0</v>
      </c>
      <c r="O91" s="155" t="str">
        <f t="shared" si="77"/>
        <v>N/A</v>
      </c>
      <c r="P91" s="154">
        <f>+'NEW Summer CHP by DISC'!P91/15</f>
        <v>0</v>
      </c>
      <c r="Q91" s="154">
        <f>+'NEW Summer CHP by DISC'!Q91/15</f>
        <v>0</v>
      </c>
      <c r="R91" s="154">
        <f>+'NEW Summer CHP by DISC'!R91/12</f>
        <v>0</v>
      </c>
      <c r="S91" s="581">
        <f>SUM(P91:R91)</f>
        <v>0</v>
      </c>
      <c r="T91" s="582" t="str">
        <f t="shared" si="78"/>
        <v>N/A</v>
      </c>
      <c r="U91" s="154">
        <f>+'NEW Summer CHP by DISC'!U91/15</f>
        <v>1.6</v>
      </c>
      <c r="V91" s="154">
        <f>+'NEW Summer CHP by DISC'!V91/15</f>
        <v>0</v>
      </c>
      <c r="W91" s="154">
        <f>+'NEW Summer CHP by DISC'!W91/12</f>
        <v>0</v>
      </c>
      <c r="X91" s="581">
        <f>SUM(U91:W91)</f>
        <v>1.6</v>
      </c>
      <c r="Y91" s="582">
        <f t="shared" si="79"/>
        <v>1</v>
      </c>
      <c r="Z91" s="154">
        <f>+'NEW Summer CHP by DISC'!Z91/15</f>
        <v>0</v>
      </c>
      <c r="AA91" s="154">
        <f>+'NEW Summer CHP by DISC'!AA91/15</f>
        <v>0</v>
      </c>
      <c r="AB91" s="154">
        <f>+'NEW Summer CHP by DISC'!AB91/12</f>
        <v>0</v>
      </c>
      <c r="AC91" s="581">
        <f>SUM(Z91:AB91)</f>
        <v>0</v>
      </c>
      <c r="AD91" s="583">
        <f t="shared" si="80"/>
        <v>-1</v>
      </c>
      <c r="AE91" s="328"/>
      <c r="AF91" s="328"/>
      <c r="AG91" s="328"/>
      <c r="AH91" s="328"/>
      <c r="AI91" s="328"/>
      <c r="AJ91" s="328"/>
      <c r="AK91" s="328"/>
      <c r="AL91" s="328"/>
      <c r="AM91" s="328"/>
      <c r="AN91" s="328"/>
      <c r="AO91" s="328"/>
      <c r="AP91" s="328"/>
      <c r="AQ91" s="328"/>
    </row>
    <row r="92" spans="1:43" x14ac:dyDescent="0.25">
      <c r="A92" s="566" t="s">
        <v>1010</v>
      </c>
      <c r="B92" s="154">
        <f>+'NEW Summer CHP by DISC'!B92/15</f>
        <v>1.8666666666666667</v>
      </c>
      <c r="C92" s="154">
        <f>+'NEW Summer CHP by DISC'!C92/15</f>
        <v>0</v>
      </c>
      <c r="D92" s="154">
        <f>+'NEW Summer CHP by DISC'!D92/12</f>
        <v>0</v>
      </c>
      <c r="E92" s="375">
        <f>SUM(B92:D92)</f>
        <v>1.8666666666666667</v>
      </c>
      <c r="F92" s="154">
        <f>+'NEW Summer CHP by DISC'!F92/15</f>
        <v>4.2666666666666666</v>
      </c>
      <c r="G92" s="154">
        <f>+'NEW Summer CHP by DISC'!G92/15</f>
        <v>0</v>
      </c>
      <c r="H92" s="154">
        <f>+'NEW Summer CHP by DISC'!H92/12</f>
        <v>0</v>
      </c>
      <c r="I92" s="581">
        <f>SUM(F92:H92)</f>
        <v>4.2666666666666666</v>
      </c>
      <c r="J92" s="582">
        <f t="shared" si="76"/>
        <v>1.2857142857142856</v>
      </c>
      <c r="K92" s="154">
        <f>+'NEW Summer CHP by DISC'!K92/15</f>
        <v>2.4</v>
      </c>
      <c r="L92" s="154">
        <f>+'NEW Summer CHP by DISC'!L92/15</f>
        <v>0</v>
      </c>
      <c r="M92" s="154">
        <f>+'NEW Summer CHP by DISC'!M92/12</f>
        <v>0</v>
      </c>
      <c r="N92" s="581">
        <f>SUM(K92:M92)</f>
        <v>2.4</v>
      </c>
      <c r="O92" s="155">
        <f t="shared" si="77"/>
        <v>-0.4375</v>
      </c>
      <c r="P92" s="154">
        <f>+'NEW Summer CHP by DISC'!P92/15</f>
        <v>2.1333333333333333</v>
      </c>
      <c r="Q92" s="154">
        <f>+'NEW Summer CHP by DISC'!Q92/15</f>
        <v>0</v>
      </c>
      <c r="R92" s="154">
        <f>+'NEW Summer CHP by DISC'!R92/12</f>
        <v>0</v>
      </c>
      <c r="S92" s="581">
        <f>SUM(P92:R92)</f>
        <v>2.1333333333333333</v>
      </c>
      <c r="T92" s="582">
        <f t="shared" si="78"/>
        <v>-0.11111111111111109</v>
      </c>
      <c r="U92" s="154">
        <f>+'NEW Summer CHP by DISC'!U92/15</f>
        <v>4</v>
      </c>
      <c r="V92" s="154">
        <f>+'NEW Summer CHP by DISC'!V92/15</f>
        <v>0</v>
      </c>
      <c r="W92" s="154">
        <f>+'NEW Summer CHP by DISC'!W92/12</f>
        <v>0</v>
      </c>
      <c r="X92" s="581">
        <f>SUM(U92:W92)</f>
        <v>4</v>
      </c>
      <c r="Y92" s="582">
        <f t="shared" si="79"/>
        <v>0.875</v>
      </c>
      <c r="Z92" s="154">
        <f>+'NEW Summer CHP by DISC'!Z92/15</f>
        <v>0</v>
      </c>
      <c r="AA92" s="154">
        <f>+'NEW Summer CHP by DISC'!AA92/15</f>
        <v>4</v>
      </c>
      <c r="AB92" s="154">
        <f>+'NEW Summer CHP by DISC'!AB92/12</f>
        <v>0</v>
      </c>
      <c r="AC92" s="581">
        <f>SUM(Z92:AB92)</f>
        <v>4</v>
      </c>
      <c r="AD92" s="583">
        <f t="shared" si="80"/>
        <v>0</v>
      </c>
      <c r="AE92" s="328"/>
      <c r="AF92" s="328"/>
      <c r="AG92" s="328"/>
      <c r="AH92" s="328"/>
      <c r="AI92" s="328"/>
      <c r="AJ92" s="328"/>
      <c r="AK92" s="328"/>
      <c r="AL92" s="328"/>
      <c r="AM92" s="328"/>
      <c r="AN92" s="328"/>
      <c r="AO92" s="328"/>
      <c r="AP92" s="328"/>
      <c r="AQ92" s="328"/>
    </row>
    <row r="93" spans="1:43" x14ac:dyDescent="0.25">
      <c r="A93" s="566" t="s">
        <v>1011</v>
      </c>
      <c r="B93" s="154">
        <f>+'NEW Summer CHP by DISC'!B93/15</f>
        <v>6.9333333333333336</v>
      </c>
      <c r="C93" s="154">
        <f>+'NEW Summer CHP by DISC'!C93/15</f>
        <v>0</v>
      </c>
      <c r="D93" s="154">
        <f>+'NEW Summer CHP by DISC'!D93/12</f>
        <v>0</v>
      </c>
      <c r="E93" s="375">
        <f>SUM(B93:D93)</f>
        <v>6.9333333333333336</v>
      </c>
      <c r="F93" s="154">
        <f>+'NEW Summer CHP by DISC'!F93/15</f>
        <v>8.8000000000000007</v>
      </c>
      <c r="G93" s="154">
        <f>+'NEW Summer CHP by DISC'!G93/15</f>
        <v>0</v>
      </c>
      <c r="H93" s="154">
        <f>+'NEW Summer CHP by DISC'!H93/12</f>
        <v>0</v>
      </c>
      <c r="I93" s="581">
        <f>SUM(F93:H93)</f>
        <v>8.8000000000000007</v>
      </c>
      <c r="J93" s="582">
        <f t="shared" si="76"/>
        <v>0.26923076923076927</v>
      </c>
      <c r="K93" s="154">
        <f>+'NEW Summer CHP by DISC'!K93/15</f>
        <v>8</v>
      </c>
      <c r="L93" s="154">
        <f>+'NEW Summer CHP by DISC'!L93/15</f>
        <v>0</v>
      </c>
      <c r="M93" s="154">
        <f>+'NEW Summer CHP by DISC'!M93/12</f>
        <v>0</v>
      </c>
      <c r="N93" s="581">
        <f>SUM(K93:M93)</f>
        <v>8</v>
      </c>
      <c r="O93" s="155">
        <f t="shared" si="77"/>
        <v>-9.0909090909090981E-2</v>
      </c>
      <c r="P93" s="154">
        <f>+'NEW Summer CHP by DISC'!P93/15</f>
        <v>7.4666666666666668</v>
      </c>
      <c r="Q93" s="154">
        <f>+'NEW Summer CHP by DISC'!Q93/15</f>
        <v>0</v>
      </c>
      <c r="R93" s="154">
        <f>+'NEW Summer CHP by DISC'!R93/12</f>
        <v>0</v>
      </c>
      <c r="S93" s="581">
        <f>SUM(P93:R93)</f>
        <v>7.4666666666666668</v>
      </c>
      <c r="T93" s="582">
        <f t="shared" si="78"/>
        <v>-6.6666666666666652E-2</v>
      </c>
      <c r="U93" s="154">
        <f>+'NEW Summer CHP by DISC'!U93/15</f>
        <v>10.133333333333333</v>
      </c>
      <c r="V93" s="154">
        <f>+'NEW Summer CHP by DISC'!V93/15</f>
        <v>0</v>
      </c>
      <c r="W93" s="154">
        <f>+'NEW Summer CHP by DISC'!W93/12</f>
        <v>0</v>
      </c>
      <c r="X93" s="581">
        <f>SUM(U93:W93)</f>
        <v>10.133333333333333</v>
      </c>
      <c r="Y93" s="582">
        <f t="shared" si="79"/>
        <v>0.35714285714285704</v>
      </c>
      <c r="Z93" s="154">
        <f>+'NEW Summer CHP by DISC'!Z93/15</f>
        <v>7.7333333333333334</v>
      </c>
      <c r="AA93" s="154">
        <f>+'NEW Summer CHP by DISC'!AA93/15</f>
        <v>0</v>
      </c>
      <c r="AB93" s="154">
        <f>+'NEW Summer CHP by DISC'!AB93/12</f>
        <v>0</v>
      </c>
      <c r="AC93" s="581">
        <f>SUM(Z93:AB93)</f>
        <v>7.7333333333333334</v>
      </c>
      <c r="AD93" s="583">
        <f t="shared" si="80"/>
        <v>-0.23684210526315785</v>
      </c>
      <c r="AE93" s="328"/>
      <c r="AF93" s="328"/>
      <c r="AG93" s="328"/>
      <c r="AH93" s="328"/>
      <c r="AI93" s="328"/>
      <c r="AJ93" s="328"/>
      <c r="AK93" s="328"/>
      <c r="AL93" s="328"/>
      <c r="AM93" s="328"/>
      <c r="AN93" s="328"/>
      <c r="AO93" s="328"/>
      <c r="AP93" s="328"/>
      <c r="AQ93" s="328"/>
    </row>
    <row r="94" spans="1:43" s="575" customFormat="1" ht="13.8" x14ac:dyDescent="0.25">
      <c r="A94" s="615" t="s">
        <v>961</v>
      </c>
      <c r="B94" s="586">
        <f t="shared" ref="B94:I94" si="81">SUM(B89:B93)</f>
        <v>23.266666666666666</v>
      </c>
      <c r="C94" s="586">
        <f t="shared" si="81"/>
        <v>0</v>
      </c>
      <c r="D94" s="586">
        <f t="shared" si="81"/>
        <v>0</v>
      </c>
      <c r="E94" s="587">
        <f t="shared" si="81"/>
        <v>23.266666666666666</v>
      </c>
      <c r="F94" s="586">
        <f t="shared" si="81"/>
        <v>36.133333333333333</v>
      </c>
      <c r="G94" s="586">
        <f t="shared" si="81"/>
        <v>0</v>
      </c>
      <c r="H94" s="586">
        <f t="shared" si="81"/>
        <v>0</v>
      </c>
      <c r="I94" s="586">
        <f t="shared" si="81"/>
        <v>36.133333333333333</v>
      </c>
      <c r="J94" s="588">
        <f t="shared" si="76"/>
        <v>0.55300859598853869</v>
      </c>
      <c r="K94" s="586">
        <f t="shared" ref="K94:S94" si="82">SUM(K89:K93)</f>
        <v>28.4</v>
      </c>
      <c r="L94" s="586">
        <f t="shared" si="82"/>
        <v>0.26666666666666666</v>
      </c>
      <c r="M94" s="586">
        <f t="shared" si="82"/>
        <v>0</v>
      </c>
      <c r="N94" s="586">
        <f t="shared" si="82"/>
        <v>28.666666666666664</v>
      </c>
      <c r="O94" s="613">
        <f t="shared" si="77"/>
        <v>-0.20664206642066427</v>
      </c>
      <c r="P94" s="585">
        <f t="shared" si="82"/>
        <v>27.733333333333334</v>
      </c>
      <c r="Q94" s="586">
        <f t="shared" si="82"/>
        <v>0</v>
      </c>
      <c r="R94" s="586">
        <f t="shared" si="82"/>
        <v>0</v>
      </c>
      <c r="S94" s="586">
        <f t="shared" si="82"/>
        <v>27.733333333333334</v>
      </c>
      <c r="T94" s="588">
        <f t="shared" si="78"/>
        <v>-3.2558139534883609E-2</v>
      </c>
      <c r="U94" s="586">
        <f>SUM(U89:U93)</f>
        <v>31.466666666666665</v>
      </c>
      <c r="V94" s="586">
        <f>SUM(V89:V93)</f>
        <v>0</v>
      </c>
      <c r="W94" s="586">
        <f>SUM(W89:W93)</f>
        <v>0</v>
      </c>
      <c r="X94" s="586">
        <f>SUM(X89:X93)</f>
        <v>31.466666666666665</v>
      </c>
      <c r="Y94" s="588">
        <f t="shared" si="79"/>
        <v>0.13461538461538453</v>
      </c>
      <c r="Z94" s="585">
        <f>SUM(Z89:Z93)</f>
        <v>14.666666666666668</v>
      </c>
      <c r="AA94" s="586">
        <f>SUM(AA89:AA93)</f>
        <v>7.7333333333333334</v>
      </c>
      <c r="AB94" s="586">
        <f>SUM(AB89:AB93)</f>
        <v>0</v>
      </c>
      <c r="AC94" s="586">
        <f>SUM(AC89:AC93)</f>
        <v>22.400000000000002</v>
      </c>
      <c r="AD94" s="589">
        <f t="shared" si="80"/>
        <v>-0.28813559322033888</v>
      </c>
    </row>
    <row r="95" spans="1:43" customFormat="1" x14ac:dyDescent="0.25">
      <c r="A95" s="640" t="s">
        <v>404</v>
      </c>
      <c r="B95" s="617"/>
      <c r="C95" s="617"/>
      <c r="D95" s="617"/>
      <c r="E95" s="618"/>
      <c r="F95" s="617"/>
      <c r="G95" s="617"/>
      <c r="H95" s="617"/>
      <c r="I95" s="617"/>
      <c r="J95" s="618"/>
      <c r="K95" s="617"/>
      <c r="L95" s="617"/>
      <c r="M95" s="617"/>
      <c r="N95" s="617"/>
      <c r="O95" s="1213"/>
      <c r="P95" s="619"/>
      <c r="Q95" s="617"/>
      <c r="R95" s="617"/>
      <c r="S95" s="617"/>
      <c r="T95" s="618"/>
      <c r="U95" s="617"/>
      <c r="V95" s="617"/>
      <c r="W95" s="617"/>
      <c r="X95" s="617"/>
      <c r="Y95" s="618"/>
      <c r="Z95" s="619"/>
      <c r="AA95" s="617"/>
      <c r="AB95" s="617"/>
      <c r="AC95" s="617"/>
      <c r="AD95" s="620"/>
    </row>
    <row r="96" spans="1:43" x14ac:dyDescent="0.25">
      <c r="A96" s="579" t="s">
        <v>660</v>
      </c>
      <c r="B96" s="154">
        <f>+'NEW Summer CHP by DISC'!B96/15</f>
        <v>0.66666666666666663</v>
      </c>
      <c r="C96" s="154">
        <f>+'NEW Summer CHP by DISC'!C96/15</f>
        <v>10.4</v>
      </c>
      <c r="D96" s="154">
        <f>+'NEW Summer CHP by DISC'!D96/12</f>
        <v>0</v>
      </c>
      <c r="E96" s="375">
        <f>SUM(B96:D96)</f>
        <v>11.066666666666666</v>
      </c>
      <c r="F96" s="154">
        <f>+'NEW Summer CHP by DISC'!F96/15</f>
        <v>0</v>
      </c>
      <c r="G96" s="154">
        <f>+'NEW Summer CHP by DISC'!G96/15</f>
        <v>7.0666666666666664</v>
      </c>
      <c r="H96" s="154">
        <f>+'NEW Summer CHP by DISC'!H96/12</f>
        <v>0</v>
      </c>
      <c r="I96" s="581">
        <f>SUM(F96:H96)</f>
        <v>7.0666666666666664</v>
      </c>
      <c r="J96" s="582">
        <f>IF(E96&gt;0,(I96-E96)/E96,(IF(I96=0,"N/A",100%)))</f>
        <v>-0.36144578313253012</v>
      </c>
      <c r="K96" s="154">
        <f>+'NEW Summer CHP by DISC'!K96/15</f>
        <v>1</v>
      </c>
      <c r="L96" s="154">
        <f>+'NEW Summer CHP by DISC'!L96/15</f>
        <v>3.1333333333333333</v>
      </c>
      <c r="M96" s="154">
        <f>+'NEW Summer CHP by DISC'!M96/12</f>
        <v>0</v>
      </c>
      <c r="N96" s="581">
        <f>SUM(K96:M96)</f>
        <v>4.1333333333333329</v>
      </c>
      <c r="O96" s="155">
        <f>IF(I96&gt;0,(N96-I96)/I96,(IF(N96=0,"N/A",100%)))</f>
        <v>-0.41509433962264158</v>
      </c>
      <c r="P96" s="154">
        <f>+'NEW Summer CHP by DISC'!P96/15</f>
        <v>3.8</v>
      </c>
      <c r="Q96" s="154">
        <f>+'NEW Summer CHP by DISC'!Q96/15</f>
        <v>5.4</v>
      </c>
      <c r="R96" s="154">
        <f>+'NEW Summer CHP by DISC'!R96/12</f>
        <v>0</v>
      </c>
      <c r="S96" s="581">
        <f>SUM(P96:R96)</f>
        <v>9.1999999999999993</v>
      </c>
      <c r="T96" s="582">
        <f>IF(N96&gt;0,(S96-N96)/N96,(IF(S96=0,"N/A",100%)))</f>
        <v>1.2258064516129032</v>
      </c>
      <c r="U96" s="154">
        <f>+'NEW Summer CHP by DISC'!U96/15</f>
        <v>0.6</v>
      </c>
      <c r="V96" s="154">
        <f>+'NEW Summer CHP by DISC'!V96/15</f>
        <v>4.5333333333333332</v>
      </c>
      <c r="W96" s="154">
        <f>+'NEW Summer CHP by DISC'!W96/12</f>
        <v>0</v>
      </c>
      <c r="X96" s="581">
        <f>SUM(U96:W96)</f>
        <v>5.1333333333333329</v>
      </c>
      <c r="Y96" s="582">
        <f>IF(S96&gt;0,(X96-S96)/S96,(IF(X96=0,"N/A",100%)))</f>
        <v>-0.4420289855072464</v>
      </c>
      <c r="Z96" s="154">
        <f>+'NEW Summer CHP by DISC'!Z96/15</f>
        <v>0</v>
      </c>
      <c r="AA96" s="154">
        <f>+'NEW Summer CHP by DISC'!AA96/15</f>
        <v>12.333333333333334</v>
      </c>
      <c r="AB96" s="154">
        <f>+'NEW Summer CHP by DISC'!AB96/12</f>
        <v>0</v>
      </c>
      <c r="AC96" s="581">
        <f>SUM(Z96:AB96)</f>
        <v>12.333333333333334</v>
      </c>
      <c r="AD96" s="583">
        <f>IF(X96&gt;0,(AC96-X96)/X96,(IF(AC96=0,"N/A",100%)))</f>
        <v>1.4025974025974028</v>
      </c>
      <c r="AE96" s="328"/>
      <c r="AF96" s="328"/>
      <c r="AG96" s="328"/>
      <c r="AH96" s="328"/>
      <c r="AI96" s="328"/>
      <c r="AJ96" s="328"/>
      <c r="AK96" s="328"/>
      <c r="AL96" s="328"/>
      <c r="AM96" s="328"/>
      <c r="AN96" s="328"/>
      <c r="AO96" s="328"/>
      <c r="AP96" s="328"/>
      <c r="AQ96" s="328"/>
    </row>
    <row r="97" spans="1:44" x14ac:dyDescent="0.25">
      <c r="A97" s="579" t="s">
        <v>997</v>
      </c>
      <c r="B97" s="154">
        <f>+'NEW Summer CHP by DISC'!B97/15</f>
        <v>0</v>
      </c>
      <c r="C97" s="154">
        <f>+'NEW Summer CHP by DISC'!C97/15</f>
        <v>2.4666666666666668</v>
      </c>
      <c r="D97" s="154">
        <f>+'NEW Summer CHP by DISC'!D97/12</f>
        <v>0</v>
      </c>
      <c r="E97" s="375">
        <f>SUM(B97:D97)</f>
        <v>2.4666666666666668</v>
      </c>
      <c r="F97" s="154">
        <f>+'NEW Summer CHP by DISC'!F97/15</f>
        <v>0</v>
      </c>
      <c r="G97" s="154">
        <f>+'NEW Summer CHP by DISC'!G97/15</f>
        <v>2.8</v>
      </c>
      <c r="H97" s="154">
        <f>+'NEW Summer CHP by DISC'!H97/12</f>
        <v>0</v>
      </c>
      <c r="I97" s="581">
        <f>SUM(F97:H97)</f>
        <v>2.8</v>
      </c>
      <c r="J97" s="582">
        <f>IF(E97&gt;0,(I97-E97)/E97,(IF(I97=0,"N/A",100%)))</f>
        <v>0.135135135135135</v>
      </c>
      <c r="K97" s="154">
        <f>+'NEW Summer CHP by DISC'!K97/15</f>
        <v>0</v>
      </c>
      <c r="L97" s="154">
        <f>+'NEW Summer CHP by DISC'!L97/15</f>
        <v>4.2</v>
      </c>
      <c r="M97" s="154">
        <f>+'NEW Summer CHP by DISC'!M97/12</f>
        <v>0</v>
      </c>
      <c r="N97" s="581">
        <f>SUM(K97:M97)</f>
        <v>4.2</v>
      </c>
      <c r="O97" s="155">
        <f>IF(I97&gt;0,(N97-I97)/I97,(IF(N97=0,"N/A",100%)))</f>
        <v>0.50000000000000011</v>
      </c>
      <c r="P97" s="154">
        <f>+'NEW Summer CHP by DISC'!P97/15</f>
        <v>0</v>
      </c>
      <c r="Q97" s="154">
        <f>+'NEW Summer CHP by DISC'!Q97/15</f>
        <v>3.4</v>
      </c>
      <c r="R97" s="154">
        <f>+'NEW Summer CHP by DISC'!R97/12</f>
        <v>0</v>
      </c>
      <c r="S97" s="581">
        <f>SUM(P97:R97)</f>
        <v>3.4</v>
      </c>
      <c r="T97" s="582">
        <f>IF(N97&gt;0,(S97-N97)/N97,(IF(S97=0,"N/A",100%)))</f>
        <v>-0.19047619047619052</v>
      </c>
      <c r="U97" s="154">
        <f>+'NEW Summer CHP by DISC'!U97/15</f>
        <v>0</v>
      </c>
      <c r="V97" s="154">
        <f>+'NEW Summer CHP by DISC'!V97/15</f>
        <v>5</v>
      </c>
      <c r="W97" s="154">
        <f>+'NEW Summer CHP by DISC'!W97/12</f>
        <v>0</v>
      </c>
      <c r="X97" s="581">
        <f>SUM(U97:W97)</f>
        <v>5</v>
      </c>
      <c r="Y97" s="582">
        <f>IF(S97&gt;0,(X97-S97)/S97,(IF(X97=0,"N/A",100%)))</f>
        <v>0.4705882352941177</v>
      </c>
      <c r="Z97" s="154">
        <f>+'NEW Summer CHP by DISC'!Z97/15</f>
        <v>0</v>
      </c>
      <c r="AA97" s="154">
        <f>+'NEW Summer CHP by DISC'!AA97/15</f>
        <v>1</v>
      </c>
      <c r="AB97" s="154">
        <f>+'NEW Summer CHP by DISC'!AB97/12</f>
        <v>0</v>
      </c>
      <c r="AC97" s="581">
        <f>SUM(Z97:AB97)</f>
        <v>1</v>
      </c>
      <c r="AD97" s="583">
        <f>IF(X97&gt;0,(AC97-X97)/X97,(IF(AC97=0,"N/A",100%)))</f>
        <v>-0.8</v>
      </c>
      <c r="AE97" s="328"/>
      <c r="AF97" s="328"/>
      <c r="AG97" s="328"/>
      <c r="AH97" s="328"/>
      <c r="AI97" s="328"/>
      <c r="AJ97" s="328"/>
      <c r="AK97" s="328"/>
      <c r="AL97" s="328"/>
      <c r="AM97" s="328"/>
      <c r="AN97" s="328"/>
      <c r="AO97" s="328"/>
      <c r="AP97" s="328"/>
      <c r="AQ97" s="328"/>
    </row>
    <row r="98" spans="1:44" s="575" customFormat="1" ht="13.8" x14ac:dyDescent="0.25">
      <c r="A98" s="584" t="s">
        <v>961</v>
      </c>
      <c r="B98" s="586">
        <f t="shared" ref="B98:I98" si="83">+B97+B96</f>
        <v>0.66666666666666663</v>
      </c>
      <c r="C98" s="586">
        <f t="shared" si="83"/>
        <v>12.866666666666667</v>
      </c>
      <c r="D98" s="586">
        <f t="shared" si="83"/>
        <v>0</v>
      </c>
      <c r="E98" s="587">
        <f t="shared" si="83"/>
        <v>13.533333333333333</v>
      </c>
      <c r="F98" s="586">
        <f t="shared" si="83"/>
        <v>0</v>
      </c>
      <c r="G98" s="586">
        <f t="shared" si="83"/>
        <v>9.8666666666666671</v>
      </c>
      <c r="H98" s="586">
        <f t="shared" si="83"/>
        <v>0</v>
      </c>
      <c r="I98" s="586">
        <f t="shared" si="83"/>
        <v>9.8666666666666671</v>
      </c>
      <c r="J98" s="588">
        <f>IF(E98&gt;0,(I98-E98)/E98,(IF(I98=0,"N/A",100%)))</f>
        <v>-0.27093596059113295</v>
      </c>
      <c r="K98" s="586">
        <f t="shared" ref="K98:S98" si="84">+K97+K96</f>
        <v>1</v>
      </c>
      <c r="L98" s="586">
        <f t="shared" si="84"/>
        <v>7.3333333333333339</v>
      </c>
      <c r="M98" s="586">
        <f t="shared" si="84"/>
        <v>0</v>
      </c>
      <c r="N98" s="586">
        <f t="shared" si="84"/>
        <v>8.3333333333333321</v>
      </c>
      <c r="O98" s="613">
        <f>IF(I98&gt;0,(N98-I98)/I98,(IF(N98=0,"N/A",100%)))</f>
        <v>-0.15540540540540557</v>
      </c>
      <c r="P98" s="585">
        <f t="shared" si="84"/>
        <v>3.8</v>
      </c>
      <c r="Q98" s="586">
        <f t="shared" si="84"/>
        <v>8.8000000000000007</v>
      </c>
      <c r="R98" s="586">
        <f t="shared" si="84"/>
        <v>0</v>
      </c>
      <c r="S98" s="586">
        <f t="shared" si="84"/>
        <v>12.6</v>
      </c>
      <c r="T98" s="588">
        <f>IF(N98&gt;0,(S98-N98)/N98,(IF(S98=0,"N/A",100%)))</f>
        <v>0.51200000000000012</v>
      </c>
      <c r="U98" s="586">
        <f>+U97+U96</f>
        <v>0.6</v>
      </c>
      <c r="V98" s="586">
        <f>+V97+V96</f>
        <v>9.5333333333333332</v>
      </c>
      <c r="W98" s="586">
        <f>+W97+W96</f>
        <v>0</v>
      </c>
      <c r="X98" s="586">
        <f>+X97+X96</f>
        <v>10.133333333333333</v>
      </c>
      <c r="Y98" s="588">
        <f>IF(S98&gt;0,(X98-S98)/S98,(IF(X98=0,"N/A",100%)))</f>
        <v>-0.19576719576719578</v>
      </c>
      <c r="Z98" s="585">
        <f>+Z97+Z96</f>
        <v>0</v>
      </c>
      <c r="AA98" s="586">
        <f>+AA97+AA96</f>
        <v>13.333333333333334</v>
      </c>
      <c r="AB98" s="586">
        <f>+AB97+AB96</f>
        <v>0</v>
      </c>
      <c r="AC98" s="586">
        <f>+AC97+AC96</f>
        <v>13.333333333333334</v>
      </c>
      <c r="AD98" s="589">
        <f>IF(X98&gt;0,(AC98-X98)/X98,(IF(AC98=0,"N/A",100%)))</f>
        <v>0.31578947368421062</v>
      </c>
    </row>
    <row r="99" spans="1:44" s="596" customFormat="1" ht="16.2" thickBot="1" x14ac:dyDescent="0.35">
      <c r="A99" s="590" t="s">
        <v>429</v>
      </c>
      <c r="B99" s="592">
        <f t="shared" ref="B99:I99" si="85">+B83+B87+B94+B98</f>
        <v>52.333333333333329</v>
      </c>
      <c r="C99" s="592">
        <f t="shared" si="85"/>
        <v>17.066666666666666</v>
      </c>
      <c r="D99" s="592">
        <f t="shared" si="85"/>
        <v>4.75</v>
      </c>
      <c r="E99" s="961">
        <f t="shared" si="85"/>
        <v>74.150000000000006</v>
      </c>
      <c r="F99" s="962">
        <f t="shared" si="85"/>
        <v>65.533333333333331</v>
      </c>
      <c r="G99" s="592">
        <f t="shared" si="85"/>
        <v>17.133333333333333</v>
      </c>
      <c r="H99" s="592">
        <f t="shared" si="85"/>
        <v>3.5</v>
      </c>
      <c r="I99" s="592">
        <f t="shared" si="85"/>
        <v>86.166666666666686</v>
      </c>
      <c r="J99" s="594">
        <f>IF(E99&gt;0,(I99-E99)/E99,(IF(I99=0,"N/A",100%)))</f>
        <v>0.1620588896381211</v>
      </c>
      <c r="K99" s="592">
        <f t="shared" ref="K99:S99" si="86">+K83+K87+K94+K98</f>
        <v>70.266666666666666</v>
      </c>
      <c r="L99" s="592">
        <f t="shared" si="86"/>
        <v>9.4</v>
      </c>
      <c r="M99" s="592">
        <f t="shared" si="86"/>
        <v>5.25</v>
      </c>
      <c r="N99" s="592">
        <f t="shared" si="86"/>
        <v>84.916666666666671</v>
      </c>
      <c r="O99" s="594">
        <f>IF(I99&gt;0,(N99-I99)/I99,(IF(N99=0,"N/A",100%)))</f>
        <v>-1.4506769825918924E-2</v>
      </c>
      <c r="P99" s="591">
        <f t="shared" si="86"/>
        <v>68.066666666666663</v>
      </c>
      <c r="Q99" s="592">
        <f t="shared" si="86"/>
        <v>12.266666666666667</v>
      </c>
      <c r="R99" s="592">
        <f t="shared" si="86"/>
        <v>3.75</v>
      </c>
      <c r="S99" s="592">
        <f t="shared" si="86"/>
        <v>84.083333333333329</v>
      </c>
      <c r="T99" s="594">
        <f>IF(N99&gt;0,(S99-N99)/N99,(IF(S99=0,"N/A",100%)))</f>
        <v>-9.8135426889108084E-3</v>
      </c>
      <c r="U99" s="592">
        <f>+U83+U87+U94+U98</f>
        <v>66.266666666666666</v>
      </c>
      <c r="V99" s="592">
        <f>+V83+V87+V94+V98</f>
        <v>10.333333333333334</v>
      </c>
      <c r="W99" s="592">
        <f>+W83+W87+W94+W98</f>
        <v>5.75</v>
      </c>
      <c r="X99" s="592">
        <f>+X83+X87+X94+X98</f>
        <v>82.35</v>
      </c>
      <c r="Y99" s="594">
        <f>IF(S99&gt;0,(X99-S99)/S99,(IF(X99=0,"N/A",100%)))</f>
        <v>-2.0614469772051548E-2</v>
      </c>
      <c r="Z99" s="591">
        <f>+Z83+Z87+Z94+Z98</f>
        <v>27.933333333333337</v>
      </c>
      <c r="AA99" s="592">
        <f>+AA83+AA87+AA94+AA98</f>
        <v>37.733333333333334</v>
      </c>
      <c r="AB99" s="592">
        <f>+AB83+AB87+AB94+AB98</f>
        <v>3</v>
      </c>
      <c r="AC99" s="592">
        <f>+AC83+AC87+AC94+AC98</f>
        <v>68.666666666666671</v>
      </c>
      <c r="AD99" s="595">
        <f>IF(X99&gt;0,(AC99-X99)/X99,(IF(AC99=0,"N/A",100%)))</f>
        <v>-0.16616069621534091</v>
      </c>
    </row>
    <row r="100" spans="1:44" ht="14.25" customHeight="1" thickTop="1" x14ac:dyDescent="0.25">
      <c r="A100" s="604"/>
      <c r="B100" s="335"/>
      <c r="C100" s="335"/>
      <c r="D100" s="335"/>
      <c r="E100" s="335"/>
      <c r="F100" s="335"/>
      <c r="G100" s="335"/>
      <c r="H100" s="335"/>
      <c r="I100" s="335"/>
      <c r="J100" s="604"/>
      <c r="K100" s="335"/>
      <c r="L100" s="335"/>
      <c r="M100" s="335"/>
      <c r="N100" s="335"/>
      <c r="O100" s="335"/>
      <c r="P100" s="335"/>
      <c r="Q100" s="335"/>
      <c r="R100" s="335"/>
      <c r="S100" s="335"/>
      <c r="T100" s="598"/>
      <c r="U100" s="335"/>
      <c r="V100" s="335"/>
      <c r="W100" s="335"/>
      <c r="X100" s="335"/>
      <c r="Y100" s="598"/>
      <c r="Z100" s="328"/>
      <c r="AA100" s="328"/>
      <c r="AB100" s="328"/>
      <c r="AC100" s="328"/>
      <c r="AD100" s="328"/>
      <c r="AE100" s="328"/>
      <c r="AF100" s="328"/>
      <c r="AG100" s="328"/>
      <c r="AH100" s="328"/>
      <c r="AI100" s="328"/>
      <c r="AJ100" s="328"/>
      <c r="AK100" s="328"/>
      <c r="AL100" s="328"/>
      <c r="AM100" s="328"/>
      <c r="AN100" s="328"/>
      <c r="AO100" s="328"/>
      <c r="AP100" s="328"/>
      <c r="AQ100" s="328"/>
    </row>
    <row r="101" spans="1:44" ht="14.25" customHeight="1" thickBot="1" x14ac:dyDescent="0.3">
      <c r="A101" s="604"/>
      <c r="B101" s="335"/>
      <c r="C101" s="335"/>
      <c r="D101" s="335"/>
      <c r="E101" s="335"/>
      <c r="F101" s="335"/>
      <c r="G101" s="335"/>
      <c r="H101" s="335"/>
      <c r="I101" s="335"/>
      <c r="J101" s="604"/>
      <c r="K101" s="335"/>
      <c r="L101" s="335"/>
      <c r="M101" s="335"/>
      <c r="N101" s="335"/>
      <c r="O101" s="335"/>
      <c r="P101" s="335"/>
      <c r="Q101" s="335"/>
      <c r="R101" s="335"/>
      <c r="S101" s="335"/>
      <c r="T101" s="598"/>
      <c r="U101" s="335"/>
      <c r="V101" s="335"/>
      <c r="W101" s="335"/>
      <c r="X101" s="335"/>
      <c r="Y101" s="598"/>
      <c r="Z101" s="328"/>
      <c r="AA101" s="328"/>
      <c r="AB101" s="328"/>
      <c r="AC101" s="328"/>
      <c r="AD101" s="328"/>
      <c r="AE101" s="328"/>
      <c r="AF101" s="328"/>
      <c r="AG101" s="328"/>
      <c r="AH101" s="328"/>
      <c r="AI101" s="328"/>
      <c r="AJ101" s="328"/>
      <c r="AK101" s="328"/>
      <c r="AL101" s="328"/>
      <c r="AM101" s="328"/>
      <c r="AN101" s="328"/>
      <c r="AO101" s="328"/>
      <c r="AP101" s="328"/>
      <c r="AQ101" s="328"/>
    </row>
    <row r="102" spans="1:44" ht="13.8" thickTop="1" x14ac:dyDescent="0.25">
      <c r="A102" s="868" t="s">
        <v>930</v>
      </c>
      <c r="B102" s="878"/>
      <c r="C102" s="623"/>
      <c r="D102" s="623"/>
      <c r="E102" s="624"/>
      <c r="F102" s="622"/>
      <c r="G102" s="623"/>
      <c r="H102" s="623"/>
      <c r="I102" s="623"/>
      <c r="J102" s="1171"/>
      <c r="K102" s="878"/>
      <c r="L102" s="623"/>
      <c r="M102" s="623"/>
      <c r="N102" s="1216"/>
      <c r="O102" s="960"/>
      <c r="P102" s="878"/>
      <c r="Q102" s="623"/>
      <c r="R102" s="623"/>
      <c r="S102" s="623"/>
      <c r="T102" s="960"/>
      <c r="U102" s="878"/>
      <c r="V102" s="623"/>
      <c r="W102" s="623"/>
      <c r="X102" s="623"/>
      <c r="Y102" s="624"/>
      <c r="Z102" s="622"/>
      <c r="AA102" s="623"/>
      <c r="AB102" s="623"/>
      <c r="AC102" s="623"/>
      <c r="AD102" s="626"/>
      <c r="AE102" s="328"/>
      <c r="AF102" s="328"/>
      <c r="AG102" s="328"/>
      <c r="AH102" s="328"/>
      <c r="AI102" s="328"/>
      <c r="AJ102" s="328"/>
      <c r="AK102" s="328"/>
      <c r="AL102" s="328"/>
      <c r="AM102" s="328"/>
      <c r="AN102" s="328"/>
      <c r="AO102" s="328"/>
      <c r="AP102" s="328"/>
      <c r="AQ102" s="328"/>
    </row>
    <row r="103" spans="1:44" x14ac:dyDescent="0.25">
      <c r="A103" s="869" t="s">
        <v>998</v>
      </c>
      <c r="B103" s="959">
        <f>+'NEW Summer CHP by DISC'!B103/15</f>
        <v>0</v>
      </c>
      <c r="C103" s="154">
        <f>+'NEW Summer CHP by DISC'!C103/15</f>
        <v>0</v>
      </c>
      <c r="D103" s="154">
        <f>+'NEW Summer CHP by DISC'!D103/12</f>
        <v>0</v>
      </c>
      <c r="E103" s="331">
        <f>SUM(B103:D103)</f>
        <v>0</v>
      </c>
      <c r="F103" s="154">
        <f>+'NEW Summer CHP by DISC'!F103/15</f>
        <v>0</v>
      </c>
      <c r="G103" s="154">
        <f>+'NEW Summer CHP by DISC'!G103/15</f>
        <v>0</v>
      </c>
      <c r="H103" s="154">
        <f>+'NEW Summer CHP by DISC'!H103/12</f>
        <v>0</v>
      </c>
      <c r="I103" s="154">
        <f>SUM(F103:H103)</f>
        <v>0</v>
      </c>
      <c r="J103" s="870" t="str">
        <f>IF(E103&gt;0,(I103-E103)/E103,(IF(I103=0,"N/A",100%)))</f>
        <v>N/A</v>
      </c>
      <c r="K103" s="959">
        <f>+'NEW Summer CHP by DISC'!K103/15</f>
        <v>0</v>
      </c>
      <c r="L103" s="154">
        <f>+'NEW Summer CHP by DISC'!L103/15</f>
        <v>0</v>
      </c>
      <c r="M103" s="154">
        <f>+'NEW Summer CHP by DISC'!M103/12</f>
        <v>0</v>
      </c>
      <c r="N103" s="880">
        <f>SUM(K103:M103)</f>
        <v>0</v>
      </c>
      <c r="O103" s="582" t="str">
        <f>IF(I103&gt;0,(N103-I103)/I103,(IF(N103=0,"N/A",100%)))</f>
        <v>N/A</v>
      </c>
      <c r="P103" s="154">
        <f>+'NEW Summer CHP by DISC'!P103/15</f>
        <v>0</v>
      </c>
      <c r="Q103" s="154">
        <f>+'NEW Summer CHP by DISC'!Q103/15</f>
        <v>0</v>
      </c>
      <c r="R103" s="154">
        <f>+'NEW Summer CHP by DISC'!R103/12</f>
        <v>0</v>
      </c>
      <c r="S103" s="154">
        <f>SUM(P103:R103)</f>
        <v>0</v>
      </c>
      <c r="T103" s="870" t="str">
        <f>IF(N103&gt;0,(S103-N103)/N103,(IF(S103=0,"N/A",100%)))</f>
        <v>N/A</v>
      </c>
      <c r="U103" s="959">
        <f>+'NEW Summer CHP by DISC'!U103/15</f>
        <v>0</v>
      </c>
      <c r="V103" s="154">
        <f>+'NEW Summer CHP by DISC'!V103/15</f>
        <v>0</v>
      </c>
      <c r="W103" s="154">
        <f>+'NEW Summer CHP by DISC'!W103/12</f>
        <v>0</v>
      </c>
      <c r="X103" s="154">
        <f>SUM(U103:W103)</f>
        <v>0</v>
      </c>
      <c r="Y103" s="602" t="str">
        <f>IF(S103&gt;0,(X103-S103)/S103,(IF(X103=0,"N/A",100%)))</f>
        <v>N/A</v>
      </c>
      <c r="Z103" s="154">
        <f>+'NEW Summer CHP by DISC'!Z103/15</f>
        <v>0</v>
      </c>
      <c r="AA103" s="154">
        <f>+'NEW Summer CHP by DISC'!AA103/15</f>
        <v>0</v>
      </c>
      <c r="AB103" s="154">
        <f>+'NEW Summer CHP by DISC'!AB103/12</f>
        <v>0</v>
      </c>
      <c r="AC103" s="154">
        <f>SUM(Z103:AB103)</f>
        <v>0</v>
      </c>
      <c r="AD103" s="567" t="str">
        <f>IF(X103&gt;0,(AC103-X103)/X103,(IF(AC103=0,"N/A",100%)))</f>
        <v>N/A</v>
      </c>
      <c r="AE103" s="328"/>
      <c r="AF103" s="328"/>
      <c r="AG103" s="328"/>
      <c r="AH103" s="328"/>
      <c r="AI103" s="328"/>
      <c r="AJ103" s="328"/>
      <c r="AK103" s="328"/>
      <c r="AL103" s="328"/>
      <c r="AM103" s="328"/>
      <c r="AN103" s="328"/>
      <c r="AO103" s="328"/>
      <c r="AP103" s="328"/>
      <c r="AQ103" s="328"/>
    </row>
    <row r="104" spans="1:44" x14ac:dyDescent="0.25">
      <c r="A104" s="869" t="s">
        <v>1001</v>
      </c>
      <c r="B104" s="959">
        <f>+'NEW Summer CHP by DISC'!B104/15</f>
        <v>0</v>
      </c>
      <c r="C104" s="154">
        <f>+'NEW Summer CHP by DISC'!C104/15</f>
        <v>0.4</v>
      </c>
      <c r="D104" s="154">
        <f>+'NEW Summer CHP by DISC'!D104/12</f>
        <v>0</v>
      </c>
      <c r="E104" s="331">
        <f>SUM(B104:D104)</f>
        <v>0.4</v>
      </c>
      <c r="F104" s="154">
        <f>+'NEW Summer CHP by DISC'!F104/15</f>
        <v>0</v>
      </c>
      <c r="G104" s="154">
        <f>+'NEW Summer CHP by DISC'!G104/15</f>
        <v>0.8</v>
      </c>
      <c r="H104" s="154">
        <f>+'NEW Summer CHP by DISC'!H104/12</f>
        <v>0</v>
      </c>
      <c r="I104" s="154">
        <f>SUM(F104:H104)</f>
        <v>0.8</v>
      </c>
      <c r="J104" s="870">
        <f>IF(E104&gt;0,(I104-E104)/E104,(IF(I104=0,"N/A",100%)))</f>
        <v>1</v>
      </c>
      <c r="K104" s="959">
        <f>+'NEW Summer CHP by DISC'!K104/15</f>
        <v>0</v>
      </c>
      <c r="L104" s="154">
        <f>+'NEW Summer CHP by DISC'!L104/15</f>
        <v>0</v>
      </c>
      <c r="M104" s="154">
        <f>+'NEW Summer CHP by DISC'!M104/12</f>
        <v>0</v>
      </c>
      <c r="N104" s="880">
        <f>SUM(K104:M104)</f>
        <v>0</v>
      </c>
      <c r="O104" s="602">
        <f>IF(I104&gt;0,(N104-I104)/I104,(IF(N104=0,"N/A",100%)))</f>
        <v>-1</v>
      </c>
      <c r="P104" s="154">
        <f>+'NEW Summer CHP by DISC'!P104/15</f>
        <v>0</v>
      </c>
      <c r="Q104" s="154">
        <f>+'NEW Summer CHP by DISC'!Q104/15</f>
        <v>2.4</v>
      </c>
      <c r="R104" s="154">
        <f>+'NEW Summer CHP by DISC'!R104/12</f>
        <v>0</v>
      </c>
      <c r="S104" s="154">
        <f>SUM(P104:R104)</f>
        <v>2.4</v>
      </c>
      <c r="T104" s="870">
        <f>IF(N104&gt;0,(S104-N104)/N104,(IF(S104=0,"N/A",100%)))</f>
        <v>1</v>
      </c>
      <c r="U104" s="959">
        <f>+'NEW Summer CHP by DISC'!U104/15</f>
        <v>0</v>
      </c>
      <c r="V104" s="154">
        <f>+'NEW Summer CHP by DISC'!V104/15</f>
        <v>2.1333333333333333</v>
      </c>
      <c r="W104" s="154">
        <f>+'NEW Summer CHP by DISC'!W104/12</f>
        <v>0</v>
      </c>
      <c r="X104" s="154">
        <f>SUM(U104:W104)</f>
        <v>2.1333333333333333</v>
      </c>
      <c r="Y104" s="602">
        <f>IF(S104&gt;0,(X104-S104)/S104,(IF(X104=0,"N/A",100%)))</f>
        <v>-0.11111111111111109</v>
      </c>
      <c r="Z104" s="154">
        <f>+'NEW Summer CHP by DISC'!Z104/15</f>
        <v>0</v>
      </c>
      <c r="AA104" s="154">
        <f>+'NEW Summer CHP by DISC'!AA104/15</f>
        <v>1</v>
      </c>
      <c r="AB104" s="154">
        <f>+'NEW Summer CHP by DISC'!AB104/12</f>
        <v>0</v>
      </c>
      <c r="AC104" s="154">
        <f>SUM(Z104:AB104)</f>
        <v>1</v>
      </c>
      <c r="AD104" s="567">
        <f>IF(X104&gt;0,(AC104-X104)/X104,(IF(AC104=0,"N/A",100%)))</f>
        <v>-0.53125</v>
      </c>
      <c r="AE104" s="328"/>
      <c r="AF104" s="328"/>
      <c r="AG104" s="328"/>
      <c r="AH104" s="328"/>
      <c r="AI104" s="328"/>
      <c r="AJ104" s="328"/>
      <c r="AK104" s="328"/>
      <c r="AL104" s="328"/>
      <c r="AM104" s="328"/>
      <c r="AN104" s="328"/>
      <c r="AO104" s="328"/>
      <c r="AP104" s="328"/>
      <c r="AQ104" s="328"/>
    </row>
    <row r="105" spans="1:44" x14ac:dyDescent="0.25">
      <c r="A105" s="965" t="s">
        <v>1143</v>
      </c>
      <c r="B105" s="959">
        <f>+'NEW Summer CHP by DISC'!B105/15</f>
        <v>2.1333333333333333</v>
      </c>
      <c r="C105" s="154">
        <f>+'NEW Summer CHP by DISC'!C105/15</f>
        <v>0</v>
      </c>
      <c r="D105" s="154">
        <f>+'NEW Summer CHP by DISC'!D105/12</f>
        <v>0</v>
      </c>
      <c r="E105" s="331">
        <f>SUM(B105:D105)</f>
        <v>2.1333333333333333</v>
      </c>
      <c r="F105" s="154">
        <f>+'NEW Summer CHP by DISC'!F105/15</f>
        <v>11.266666666666667</v>
      </c>
      <c r="G105" s="154">
        <f>+'NEW Summer CHP by DISC'!G105/15</f>
        <v>0</v>
      </c>
      <c r="H105" s="154">
        <f>+'NEW Summer CHP by DISC'!H105/12</f>
        <v>0</v>
      </c>
      <c r="I105" s="154">
        <f>SUM(F105:H105)</f>
        <v>11.266666666666667</v>
      </c>
      <c r="J105" s="870">
        <f>IF(E105&gt;0,(I105-E105)/E105,(IF(I105=0,"N/A",100%)))</f>
        <v>4.2812500000000009</v>
      </c>
      <c r="K105" s="959">
        <f>+'NEW Summer CHP by DISC'!K105/15</f>
        <v>12.266666666666667</v>
      </c>
      <c r="L105" s="154">
        <f>+'NEW Summer CHP by DISC'!L105/15</f>
        <v>0</v>
      </c>
      <c r="M105" s="154">
        <f>+'NEW Summer CHP by DISC'!M105/12</f>
        <v>0</v>
      </c>
      <c r="N105" s="880">
        <f>SUM(K105:M105)</f>
        <v>12.266666666666667</v>
      </c>
      <c r="O105" s="602">
        <f>IF(I105&gt;0,(N105-I105)/I105,(IF(N105=0,"N/A",100%)))</f>
        <v>8.8757396449704137E-2</v>
      </c>
      <c r="P105" s="154">
        <f>+'NEW Summer CHP by DISC'!P105/15</f>
        <v>11.666666666666666</v>
      </c>
      <c r="Q105" s="154">
        <f>+'NEW Summer CHP by DISC'!Q105/15</f>
        <v>0</v>
      </c>
      <c r="R105" s="154">
        <f>+'NEW Summer CHP by DISC'!R105/12</f>
        <v>0</v>
      </c>
      <c r="S105" s="154">
        <f>SUM(P105:R105)</f>
        <v>11.666666666666666</v>
      </c>
      <c r="T105" s="870">
        <f>IF(N105&gt;0,(S105-N105)/N105,(IF(S105=0,"N/A",100%)))</f>
        <v>-4.8913043478260983E-2</v>
      </c>
      <c r="U105" s="959">
        <f>+'NEW Summer CHP by DISC'!U105/15</f>
        <v>4.2666666666666666</v>
      </c>
      <c r="V105" s="154">
        <f>+'NEW Summer CHP by DISC'!V105/15</f>
        <v>0</v>
      </c>
      <c r="W105" s="154">
        <f>+'NEW Summer CHP by DISC'!W105/12</f>
        <v>0</v>
      </c>
      <c r="X105" s="154">
        <f>SUM(U105:W105)</f>
        <v>4.2666666666666666</v>
      </c>
      <c r="Y105" s="602">
        <f>IF(S105&gt;0,(X105-S105)/S105,(IF(X105=0,"N/A",100%)))</f>
        <v>-0.63428571428571423</v>
      </c>
      <c r="Z105" s="154">
        <f>+'NEW Summer CHP by DISC'!Z105/15</f>
        <v>3.9333333333333331</v>
      </c>
      <c r="AA105" s="154">
        <f>+'NEW Summer CHP by DISC'!AA105/15</f>
        <v>0</v>
      </c>
      <c r="AB105" s="154">
        <f>+'NEW Summer CHP by DISC'!AB105/12</f>
        <v>0</v>
      </c>
      <c r="AC105" s="154">
        <f>SUM(Z105:AB105)</f>
        <v>3.9333333333333331</v>
      </c>
      <c r="AD105" s="567">
        <f>IF(X105&gt;0,(AC105-X105)/X105,(IF(AC105=0,"N/A",100%)))</f>
        <v>-7.8125000000000042E-2</v>
      </c>
      <c r="AE105" s="328"/>
      <c r="AF105" s="328"/>
      <c r="AG105" s="328"/>
      <c r="AH105" s="328"/>
      <c r="AI105" s="328"/>
      <c r="AJ105" s="328"/>
      <c r="AK105" s="328"/>
      <c r="AL105" s="328"/>
      <c r="AM105" s="328"/>
      <c r="AN105" s="328"/>
      <c r="AO105" s="328"/>
      <c r="AP105" s="328"/>
      <c r="AQ105" s="328"/>
    </row>
    <row r="106" spans="1:44" x14ac:dyDescent="0.25">
      <c r="A106" s="876" t="s">
        <v>412</v>
      </c>
      <c r="B106" s="959">
        <f>+'NEW Summer CHP by DISC'!B106/15</f>
        <v>0</v>
      </c>
      <c r="C106" s="154">
        <f>+'NEW Summer CHP by DISC'!C106/15</f>
        <v>0</v>
      </c>
      <c r="D106" s="154">
        <f>+'NEW Summer CHP by DISC'!D106/12</f>
        <v>0</v>
      </c>
      <c r="E106" s="331">
        <f>SUM(B106:D106)</f>
        <v>0</v>
      </c>
      <c r="F106" s="154">
        <f>+'NEW Summer CHP by DISC'!F106/15</f>
        <v>0.2</v>
      </c>
      <c r="G106" s="154">
        <f>+'NEW Summer CHP by DISC'!G106/15</f>
        <v>0</v>
      </c>
      <c r="H106" s="154">
        <f>+'NEW Summer CHP by DISC'!H106/12</f>
        <v>0</v>
      </c>
      <c r="I106" s="154">
        <f>SUM(F106:H106)</f>
        <v>0.2</v>
      </c>
      <c r="J106" s="870">
        <f>IF(E106&gt;0,(I106-E106)/E106,(IF(I106=0,"N/A",100%)))</f>
        <v>1</v>
      </c>
      <c r="K106" s="959">
        <f>+'NEW Summer CHP by DISC'!K106/15</f>
        <v>0</v>
      </c>
      <c r="L106" s="154">
        <f>+'NEW Summer CHP by DISC'!L106/15</f>
        <v>0</v>
      </c>
      <c r="M106" s="154">
        <f>+'NEW Summer CHP by DISC'!M106/12</f>
        <v>0</v>
      </c>
      <c r="N106" s="880">
        <f>SUM(K106:M106)</f>
        <v>0</v>
      </c>
      <c r="O106" s="602">
        <f>IF(I106&gt;0,(N106-I106)/I106,(IF(N106=0,"N/A",100%)))</f>
        <v>-1</v>
      </c>
      <c r="P106" s="154">
        <f>+'NEW Summer CHP by DISC'!P106/15</f>
        <v>0</v>
      </c>
      <c r="Q106" s="154">
        <f>+'NEW Summer CHP by DISC'!Q106/15</f>
        <v>0</v>
      </c>
      <c r="R106" s="154">
        <f>+'NEW Summer CHP by DISC'!R106/12</f>
        <v>0</v>
      </c>
      <c r="S106" s="154">
        <f>SUM(P106:R106)</f>
        <v>0</v>
      </c>
      <c r="T106" s="870" t="str">
        <f>IF(N106&gt;0,(S106-N106)/N106,(IF(S106=0,"N/A",100%)))</f>
        <v>N/A</v>
      </c>
      <c r="U106" s="959">
        <f>+'NEW Summer CHP by DISC'!U106/15</f>
        <v>0</v>
      </c>
      <c r="V106" s="154">
        <f>+'NEW Summer CHP by DISC'!V106/15</f>
        <v>0</v>
      </c>
      <c r="W106" s="154">
        <f>+'NEW Summer CHP by DISC'!W106/12</f>
        <v>0</v>
      </c>
      <c r="X106" s="154">
        <f>SUM(U106:W106)</f>
        <v>0</v>
      </c>
      <c r="Y106" s="602" t="str">
        <f>IF(S106&gt;0,(X106-S106)/S106,(IF(X106=0,"N/A",100%)))</f>
        <v>N/A</v>
      </c>
      <c r="Z106" s="154">
        <f>+'NEW Summer CHP by DISC'!Z106/15</f>
        <v>0</v>
      </c>
      <c r="AA106" s="154">
        <f>+'NEW Summer CHP by DISC'!AA106/15</f>
        <v>0</v>
      </c>
      <c r="AB106" s="154">
        <f>+'NEW Summer CHP by DISC'!AB106/12</f>
        <v>0</v>
      </c>
      <c r="AC106" s="154">
        <f>SUM(Z106:AB106)</f>
        <v>0</v>
      </c>
      <c r="AD106" s="567" t="str">
        <f>IF(X106&gt;0,(AC106-X106)/X106,(IF(AC106=0,"N/A",100%)))</f>
        <v>N/A</v>
      </c>
      <c r="AE106" s="328"/>
      <c r="AF106" s="328"/>
      <c r="AG106" s="328"/>
      <c r="AH106" s="328"/>
      <c r="AI106" s="328"/>
      <c r="AJ106" s="328"/>
      <c r="AK106" s="328"/>
      <c r="AL106" s="328"/>
      <c r="AM106" s="328"/>
      <c r="AN106" s="328"/>
      <c r="AO106" s="328"/>
      <c r="AP106" s="328"/>
      <c r="AQ106" s="328"/>
    </row>
    <row r="107" spans="1:44" s="575" customFormat="1" ht="14.4" thickBot="1" x14ac:dyDescent="0.3">
      <c r="A107" s="877" t="s">
        <v>961</v>
      </c>
      <c r="B107" s="879">
        <f t="shared" ref="B107:I107" si="87">SUM(B103:B106)</f>
        <v>2.1333333333333333</v>
      </c>
      <c r="C107" s="873">
        <f t="shared" si="87"/>
        <v>0.4</v>
      </c>
      <c r="D107" s="874">
        <f t="shared" si="87"/>
        <v>0</v>
      </c>
      <c r="E107" s="1203">
        <f t="shared" si="87"/>
        <v>2.5333333333333332</v>
      </c>
      <c r="F107" s="874">
        <f t="shared" si="87"/>
        <v>11.466666666666667</v>
      </c>
      <c r="G107" s="873">
        <f t="shared" si="87"/>
        <v>0.8</v>
      </c>
      <c r="H107" s="874">
        <f t="shared" si="87"/>
        <v>0</v>
      </c>
      <c r="I107" s="874">
        <f t="shared" si="87"/>
        <v>12.266666666666667</v>
      </c>
      <c r="J107" s="881">
        <f>IF(E107&gt;0,(I107-E107)/E107,(IF(I107=0,"N/A",100%)))</f>
        <v>3.8421052631578951</v>
      </c>
      <c r="K107" s="879">
        <f t="shared" ref="K107:S107" si="88">SUM(K103:K106)</f>
        <v>12.266666666666667</v>
      </c>
      <c r="L107" s="873">
        <f t="shared" si="88"/>
        <v>0</v>
      </c>
      <c r="M107" s="874">
        <f t="shared" si="88"/>
        <v>0</v>
      </c>
      <c r="N107" s="966">
        <f t="shared" si="88"/>
        <v>12.266666666666667</v>
      </c>
      <c r="O107" s="1217">
        <f>IF(I107&gt;0,(N107-I107)/I107,(IF(N107=0,"N/A",100%)))</f>
        <v>0</v>
      </c>
      <c r="P107" s="879">
        <f t="shared" si="88"/>
        <v>11.666666666666666</v>
      </c>
      <c r="Q107" s="873">
        <f t="shared" si="88"/>
        <v>2.4</v>
      </c>
      <c r="R107" s="874">
        <f t="shared" si="88"/>
        <v>0</v>
      </c>
      <c r="S107" s="874">
        <f t="shared" si="88"/>
        <v>14.066666666666666</v>
      </c>
      <c r="T107" s="881">
        <f>IF(N107&gt;0,(S107-N107)/N107,(IF(S107=0,"N/A",100%)))</f>
        <v>0.14673913043478251</v>
      </c>
      <c r="U107" s="879">
        <f>SUM(U103:U106)</f>
        <v>4.2666666666666666</v>
      </c>
      <c r="V107" s="874">
        <f>SUM(V103:V106)</f>
        <v>2.1333333333333333</v>
      </c>
      <c r="W107" s="874">
        <f>SUM(W103:W106)</f>
        <v>0</v>
      </c>
      <c r="X107" s="874">
        <f>SUM(X103:X106)</f>
        <v>6.4</v>
      </c>
      <c r="Y107" s="1217">
        <f>IF(S107&gt;0,(X107-S107)/S107,(IF(X107=0,"N/A",100%)))</f>
        <v>-0.54502369668246442</v>
      </c>
      <c r="Z107" s="874">
        <f>SUM(Z103:Z106)</f>
        <v>3.9333333333333331</v>
      </c>
      <c r="AA107" s="874">
        <f>SUM(AA103:AA106)</f>
        <v>1</v>
      </c>
      <c r="AB107" s="874">
        <f>SUM(AB103:AB106)</f>
        <v>0</v>
      </c>
      <c r="AC107" s="874">
        <f>SUM(AC103:AC106)</f>
        <v>4.9333333333333336</v>
      </c>
      <c r="AD107" s="875">
        <f>IF(X107&gt;0,(AC107-X107)/X107,(IF(AC107=0,"N/A",100%)))</f>
        <v>-0.22916666666666669</v>
      </c>
    </row>
    <row r="108" spans="1:44" s="575" customFormat="1" ht="14.25" customHeight="1" thickTop="1" x14ac:dyDescent="0.25">
      <c r="A108" s="692"/>
      <c r="B108" s="693"/>
      <c r="C108" s="693"/>
      <c r="D108" s="693"/>
      <c r="E108" s="693"/>
      <c r="F108" s="693"/>
      <c r="G108" s="693"/>
      <c r="H108" s="693"/>
      <c r="I108" s="693"/>
      <c r="J108" s="692"/>
      <c r="K108" s="693"/>
      <c r="L108" s="693"/>
      <c r="M108" s="693"/>
      <c r="N108" s="693"/>
      <c r="O108" s="693"/>
      <c r="P108" s="693"/>
      <c r="Q108" s="693"/>
      <c r="R108" s="693"/>
      <c r="S108" s="693"/>
      <c r="T108" s="694"/>
      <c r="U108" s="693"/>
      <c r="V108" s="693"/>
      <c r="W108" s="693"/>
      <c r="X108" s="693"/>
      <c r="Y108" s="694"/>
      <c r="Z108" s="693"/>
      <c r="AA108" s="693"/>
      <c r="AB108" s="693"/>
      <c r="AC108" s="693"/>
      <c r="AD108" s="694"/>
    </row>
    <row r="109" spans="1:44" ht="14.25" customHeight="1" thickBot="1" x14ac:dyDescent="0.3">
      <c r="A109" s="695"/>
      <c r="B109" s="696"/>
      <c r="C109" s="696"/>
      <c r="D109" s="696"/>
      <c r="E109" s="696"/>
      <c r="F109" s="696"/>
      <c r="G109" s="696"/>
      <c r="H109" s="696"/>
      <c r="I109" s="696"/>
      <c r="J109" s="695"/>
      <c r="K109" s="696"/>
      <c r="L109" s="696"/>
      <c r="M109" s="696"/>
      <c r="N109" s="696"/>
      <c r="O109" s="696"/>
      <c r="P109" s="696"/>
      <c r="Q109" s="696"/>
      <c r="R109" s="696"/>
      <c r="S109" s="696"/>
      <c r="T109" s="697"/>
      <c r="U109" s="696"/>
      <c r="V109" s="696"/>
      <c r="W109" s="696"/>
      <c r="X109" s="696"/>
      <c r="Y109" s="697"/>
      <c r="Z109" s="696"/>
      <c r="AA109" s="696"/>
      <c r="AB109" s="696"/>
      <c r="AC109" s="696"/>
      <c r="AD109" s="697"/>
      <c r="AE109" s="328"/>
      <c r="AF109" s="328"/>
      <c r="AG109" s="328"/>
      <c r="AH109" s="328"/>
      <c r="AI109" s="328"/>
      <c r="AJ109" s="328"/>
      <c r="AK109" s="328"/>
      <c r="AL109" s="328"/>
      <c r="AM109" s="328"/>
      <c r="AN109" s="328"/>
      <c r="AO109" s="328"/>
      <c r="AP109" s="328"/>
      <c r="AQ109" s="328"/>
    </row>
    <row r="110" spans="1:44" s="639" customFormat="1" ht="18" thickTop="1" thickBot="1" x14ac:dyDescent="0.35">
      <c r="A110" s="1172" t="s">
        <v>949</v>
      </c>
      <c r="B110" s="1167">
        <f t="shared" ref="B110:I110" si="89">+B107+B99+B74+B38+B21</f>
        <v>132</v>
      </c>
      <c r="C110" s="1167">
        <f t="shared" si="89"/>
        <v>125</v>
      </c>
      <c r="D110" s="1167">
        <f t="shared" si="89"/>
        <v>75.25</v>
      </c>
      <c r="E110" s="1168">
        <f t="shared" si="89"/>
        <v>332.25</v>
      </c>
      <c r="F110" s="1167">
        <f t="shared" si="89"/>
        <v>143.53333333333333</v>
      </c>
      <c r="G110" s="1167">
        <f t="shared" si="89"/>
        <v>111</v>
      </c>
      <c r="H110" s="1167">
        <f t="shared" si="89"/>
        <v>72.5</v>
      </c>
      <c r="I110" s="1167">
        <f t="shared" si="89"/>
        <v>327.03333333333336</v>
      </c>
      <c r="J110" s="1169">
        <f>IF(E110&gt;0,(I110-E110)/E110,(IF(I110=0,"N/A",100%)))</f>
        <v>-1.5701028342111782E-2</v>
      </c>
      <c r="K110" s="1167">
        <f>+K107+K99+K74+K38+K21</f>
        <v>173.2</v>
      </c>
      <c r="L110" s="1167">
        <f>+L107+L99+L74+L38+L21</f>
        <v>95.199999999999989</v>
      </c>
      <c r="M110" s="1167">
        <f>+M107+M99+M74+M38+M21</f>
        <v>94.25</v>
      </c>
      <c r="N110" s="1214">
        <f>+N107+N99+N74+N38+N21</f>
        <v>362.65000000000003</v>
      </c>
      <c r="O110" s="1215">
        <f>IF(I110&gt;0,(N110-I110)/I110,(IF(N110=0,"N/A",100%)))</f>
        <v>0.1089083681581898</v>
      </c>
      <c r="P110" s="1167">
        <f>+P107+P99+P74+P38+P21</f>
        <v>167</v>
      </c>
      <c r="Q110" s="1167">
        <f>+Q107+Q99+Q74+Q38+Q21</f>
        <v>104.2</v>
      </c>
      <c r="R110" s="1167">
        <f>+R107+R99+R74+R38+R21</f>
        <v>92.75</v>
      </c>
      <c r="S110" s="1167">
        <f>+S107+S99+S74+S38+S21</f>
        <v>363.95</v>
      </c>
      <c r="T110" s="1169">
        <f>IF(N110&gt;0,(S110-N110)/N110,(IF(S110=0,"N/A",100%)))</f>
        <v>3.5847235626635995E-3</v>
      </c>
      <c r="U110" s="1167">
        <f>+U107+U99+U74+U38+U21</f>
        <v>150.66666666666666</v>
      </c>
      <c r="V110" s="1167">
        <f>+V107+V99+V74+V38+V21</f>
        <v>137.4</v>
      </c>
      <c r="W110" s="1167">
        <f>+W107+W99+W74+W38+W21</f>
        <v>95.25</v>
      </c>
      <c r="X110" s="1167">
        <f>+X107+X99+X74+X38+X21</f>
        <v>383.31666666666672</v>
      </c>
      <c r="Y110" s="1482">
        <f>IF(S110&gt;0,(X110-S110)/S110,(IF(X110=0,"N/A",100%)))</f>
        <v>5.3212437605898423E-2</v>
      </c>
      <c r="Z110" s="1167">
        <f>+Z107+Z99+Z74+Z38+Z21</f>
        <v>67.933333333333337</v>
      </c>
      <c r="AA110" s="1167">
        <f>+AA107+AA99+AA74+AA38+AA21</f>
        <v>187.46666666666667</v>
      </c>
      <c r="AB110" s="1167">
        <f>+AB107+AB99+AB74+AB38+AB21</f>
        <v>82</v>
      </c>
      <c r="AC110" s="1167">
        <f>+AC107+AC99+AC74+AC38+AC21</f>
        <v>337.40000000000003</v>
      </c>
      <c r="AD110" s="1170">
        <f>IF(X110&gt;0,(AC110-X110)/X110,(IF(AC110=0,"N/A",100%)))</f>
        <v>-0.11978781686160271</v>
      </c>
    </row>
    <row r="111" spans="1:44" ht="13.8" thickTop="1" x14ac:dyDescent="0.25">
      <c r="A111" s="1725" t="s">
        <v>1012</v>
      </c>
      <c r="B111" s="1725"/>
      <c r="C111" s="1725"/>
      <c r="D111" s="1725"/>
      <c r="E111" s="1725"/>
      <c r="F111" s="1725"/>
      <c r="G111" s="1725"/>
      <c r="H111" s="1725"/>
      <c r="I111" s="1725"/>
      <c r="J111" s="1725"/>
      <c r="K111" s="1725"/>
      <c r="L111" s="1725"/>
      <c r="M111" s="1725"/>
      <c r="N111" s="1725"/>
      <c r="O111" s="1725"/>
      <c r="P111" s="1725"/>
      <c r="Q111" s="1725"/>
      <c r="R111" s="1725"/>
      <c r="S111" s="1725"/>
      <c r="T111" s="1725"/>
      <c r="U111" s="1725"/>
      <c r="V111" s="1725"/>
      <c r="W111" s="1725"/>
      <c r="X111" s="1725"/>
      <c r="Y111" s="1725"/>
      <c r="Z111" s="328"/>
      <c r="AA111" s="328"/>
      <c r="AB111" s="328"/>
      <c r="AC111" s="328"/>
      <c r="AD111" s="328"/>
      <c r="AE111" s="328"/>
      <c r="AF111" s="328"/>
      <c r="AG111" s="328"/>
      <c r="AH111" s="328"/>
      <c r="AI111" s="328"/>
      <c r="AJ111" s="328"/>
      <c r="AK111" s="328"/>
      <c r="AL111" s="328"/>
      <c r="AM111" s="328"/>
      <c r="AN111" s="328"/>
      <c r="AO111" s="328"/>
      <c r="AP111" s="328"/>
      <c r="AQ111" s="328"/>
      <c r="AR111" s="328"/>
    </row>
    <row r="112" spans="1:44" x14ac:dyDescent="0.25">
      <c r="A112" s="1749"/>
      <c r="B112" s="1749"/>
      <c r="C112" s="1749"/>
      <c r="D112" s="1749"/>
      <c r="E112" s="1749"/>
      <c r="F112" s="1749"/>
      <c r="G112" s="1749"/>
      <c r="H112" s="1749"/>
      <c r="I112" s="1749"/>
      <c r="J112" s="1749"/>
      <c r="K112" s="1749"/>
      <c r="L112" s="1749"/>
      <c r="M112" s="1749"/>
      <c r="N112" s="1749"/>
      <c r="O112" s="1749"/>
      <c r="P112" s="1749"/>
      <c r="Q112" s="1749"/>
      <c r="R112" s="1749"/>
      <c r="S112" s="1749"/>
      <c r="T112" s="1749"/>
      <c r="U112" s="1749"/>
      <c r="V112" s="1749"/>
      <c r="W112" s="1749"/>
      <c r="X112" s="1749"/>
      <c r="Y112" s="1749"/>
      <c r="Z112" s="328"/>
      <c r="AA112" s="328"/>
      <c r="AB112" s="328"/>
      <c r="AC112" s="328"/>
      <c r="AD112" s="328"/>
      <c r="AE112" s="328"/>
      <c r="AF112" s="328"/>
      <c r="AG112" s="328"/>
      <c r="AH112" s="328"/>
      <c r="AI112" s="328"/>
      <c r="AJ112" s="328"/>
      <c r="AK112" s="328"/>
      <c r="AL112" s="328"/>
      <c r="AM112" s="328"/>
      <c r="AN112" s="328"/>
      <c r="AO112" s="328"/>
      <c r="AP112" s="328"/>
      <c r="AQ112" s="328"/>
      <c r="AR112" s="328"/>
    </row>
    <row r="113" spans="1:44" x14ac:dyDescent="0.25">
      <c r="A113" s="698"/>
      <c r="B113" s="698"/>
      <c r="C113" s="698"/>
      <c r="D113" s="698"/>
      <c r="E113" s="698"/>
      <c r="F113" s="698"/>
      <c r="G113" s="698"/>
      <c r="H113" s="698"/>
      <c r="I113" s="698"/>
      <c r="J113" s="696"/>
      <c r="K113" s="699"/>
      <c r="L113" s="698"/>
      <c r="M113" s="698"/>
      <c r="N113" s="698"/>
      <c r="O113" s="698"/>
      <c r="P113" s="698"/>
      <c r="Q113" s="698"/>
      <c r="R113" s="698"/>
      <c r="S113" s="696"/>
      <c r="T113" s="698"/>
      <c r="U113" s="696"/>
      <c r="V113" s="696"/>
      <c r="W113" s="698"/>
      <c r="X113" s="696"/>
      <c r="Y113" s="698"/>
      <c r="Z113" s="328"/>
      <c r="AA113" s="328"/>
      <c r="AB113" s="328"/>
      <c r="AC113" s="328"/>
      <c r="AD113" s="328"/>
      <c r="AE113" s="328"/>
      <c r="AF113" s="328"/>
      <c r="AG113" s="328"/>
      <c r="AH113" s="328"/>
      <c r="AI113" s="328"/>
      <c r="AJ113" s="328"/>
      <c r="AK113" s="328"/>
      <c r="AL113" s="328"/>
      <c r="AM113" s="146"/>
      <c r="AN113" s="146"/>
      <c r="AO113" s="146"/>
      <c r="AP113" s="146"/>
      <c r="AQ113" s="146"/>
      <c r="AR113" s="146"/>
    </row>
    <row r="114" spans="1:44" x14ac:dyDescent="0.25">
      <c r="A114" s="698"/>
      <c r="B114" s="698"/>
      <c r="C114" s="698"/>
      <c r="D114" s="698"/>
      <c r="E114" s="698"/>
      <c r="F114" s="698"/>
      <c r="G114" s="698"/>
      <c r="H114" s="698"/>
      <c r="I114" s="698"/>
      <c r="J114" s="698"/>
      <c r="K114" s="700"/>
      <c r="L114" s="698"/>
      <c r="M114" s="698"/>
      <c r="N114" s="698"/>
      <c r="O114" s="698"/>
      <c r="P114" s="698"/>
      <c r="Q114" s="698"/>
      <c r="R114" s="698"/>
      <c r="S114" s="698"/>
      <c r="T114" s="698"/>
      <c r="U114" s="698"/>
      <c r="V114" s="698"/>
      <c r="W114" s="698"/>
      <c r="X114" s="698"/>
      <c r="Y114" s="698"/>
      <c r="Z114" s="328"/>
      <c r="AA114" s="328"/>
      <c r="AB114" s="328"/>
      <c r="AC114" s="328"/>
      <c r="AD114" s="328"/>
      <c r="AE114" s="328"/>
      <c r="AF114" s="328"/>
      <c r="AG114" s="328"/>
      <c r="AH114" s="328"/>
      <c r="AI114" s="328"/>
      <c r="AJ114" s="328"/>
      <c r="AK114" s="328"/>
      <c r="AL114" s="328"/>
      <c r="AM114" s="146"/>
      <c r="AN114" s="146"/>
      <c r="AO114" s="146"/>
      <c r="AP114" s="146"/>
      <c r="AQ114" s="146"/>
      <c r="AR114" s="146"/>
    </row>
    <row r="115" spans="1:44" x14ac:dyDescent="0.25">
      <c r="A115" s="698"/>
      <c r="B115" s="698"/>
      <c r="C115" s="698"/>
      <c r="D115" s="698"/>
      <c r="E115" s="698"/>
      <c r="F115" s="698"/>
      <c r="G115" s="698"/>
      <c r="H115" s="698"/>
      <c r="I115" s="698"/>
      <c r="J115" s="698"/>
      <c r="K115" s="700"/>
      <c r="L115" s="698"/>
      <c r="M115" s="698"/>
      <c r="N115" s="698"/>
      <c r="O115" s="698"/>
      <c r="P115" s="698"/>
      <c r="Q115" s="698"/>
      <c r="R115" s="698"/>
      <c r="S115" s="698"/>
      <c r="T115" s="698"/>
      <c r="U115" s="698"/>
      <c r="V115" s="698"/>
      <c r="W115" s="698"/>
      <c r="X115" s="698"/>
      <c r="Y115" s="698"/>
      <c r="Z115" s="328"/>
      <c r="AA115" s="328"/>
      <c r="AB115" s="328"/>
      <c r="AC115" s="328"/>
      <c r="AD115" s="328"/>
      <c r="AE115" s="328"/>
      <c r="AF115" s="328"/>
      <c r="AG115" s="328"/>
      <c r="AH115" s="328"/>
      <c r="AI115" s="328"/>
      <c r="AJ115" s="328"/>
      <c r="AK115" s="328"/>
      <c r="AL115" s="328"/>
      <c r="AM115" s="146"/>
      <c r="AN115" s="146"/>
      <c r="AO115" s="146"/>
      <c r="AP115" s="146"/>
      <c r="AQ115" s="146"/>
      <c r="AR115" s="146"/>
    </row>
    <row r="116" spans="1:44" x14ac:dyDescent="0.25">
      <c r="A116" s="698"/>
      <c r="B116" s="698"/>
      <c r="C116" s="698"/>
      <c r="D116" s="698"/>
      <c r="E116" s="698"/>
      <c r="F116" s="698"/>
      <c r="G116" s="698"/>
      <c r="H116" s="698"/>
      <c r="I116" s="698"/>
      <c r="J116" s="698"/>
      <c r="K116" s="700"/>
      <c r="L116" s="698"/>
      <c r="M116" s="698"/>
      <c r="N116" s="698"/>
      <c r="O116" s="698"/>
      <c r="P116" s="698"/>
      <c r="Q116" s="698"/>
      <c r="R116" s="698"/>
      <c r="S116" s="698"/>
      <c r="T116" s="698"/>
      <c r="U116" s="698"/>
      <c r="V116" s="698"/>
      <c r="W116" s="698"/>
      <c r="X116" s="698"/>
      <c r="Y116" s="698"/>
      <c r="Z116" s="328"/>
      <c r="AA116" s="328"/>
      <c r="AB116" s="328"/>
      <c r="AC116" s="328"/>
      <c r="AD116" s="328"/>
      <c r="AE116" s="328"/>
      <c r="AF116" s="328"/>
      <c r="AG116" s="328"/>
      <c r="AH116" s="328"/>
      <c r="AI116" s="328"/>
      <c r="AJ116" s="328"/>
      <c r="AK116" s="328"/>
      <c r="AL116" s="328"/>
      <c r="AM116" s="146"/>
      <c r="AN116" s="146"/>
      <c r="AO116" s="146"/>
      <c r="AP116" s="146"/>
      <c r="AQ116" s="146"/>
      <c r="AR116" s="146"/>
    </row>
    <row r="117" spans="1:44" x14ac:dyDescent="0.25">
      <c r="A117" s="698"/>
      <c r="B117" s="698"/>
      <c r="C117" s="698"/>
      <c r="D117" s="698"/>
      <c r="E117" s="698"/>
      <c r="F117" s="698"/>
      <c r="G117" s="698"/>
      <c r="H117" s="698"/>
      <c r="I117" s="698"/>
      <c r="J117" s="698"/>
      <c r="K117" s="700"/>
      <c r="L117" s="698"/>
      <c r="M117" s="698"/>
      <c r="N117" s="698"/>
      <c r="O117" s="698"/>
      <c r="P117" s="698"/>
      <c r="Q117" s="698"/>
      <c r="R117" s="698"/>
      <c r="S117" s="698"/>
      <c r="T117" s="698"/>
      <c r="U117" s="698"/>
      <c r="V117" s="698"/>
      <c r="W117" s="698"/>
      <c r="X117" s="698"/>
      <c r="Y117" s="698"/>
      <c r="Z117" s="328"/>
      <c r="AA117" s="328"/>
      <c r="AB117" s="328"/>
      <c r="AC117" s="328"/>
      <c r="AD117" s="328"/>
      <c r="AE117" s="328"/>
      <c r="AF117" s="328"/>
      <c r="AG117" s="328"/>
      <c r="AH117" s="328"/>
      <c r="AI117" s="328"/>
      <c r="AJ117" s="328"/>
      <c r="AK117" s="328"/>
      <c r="AL117" s="328"/>
      <c r="AM117" s="146"/>
      <c r="AN117" s="146"/>
      <c r="AO117" s="146"/>
      <c r="AP117" s="146"/>
      <c r="AQ117" s="146"/>
      <c r="AR117" s="146"/>
    </row>
    <row r="118" spans="1:44" x14ac:dyDescent="0.25">
      <c r="A118" s="698"/>
      <c r="B118" s="698"/>
      <c r="C118" s="698"/>
      <c r="D118" s="698"/>
      <c r="E118" s="698"/>
      <c r="F118" s="698"/>
      <c r="G118" s="698"/>
      <c r="H118" s="698"/>
      <c r="I118" s="698"/>
      <c r="J118" s="698"/>
      <c r="K118" s="700"/>
      <c r="L118" s="698"/>
      <c r="M118" s="698"/>
      <c r="N118" s="698"/>
      <c r="O118" s="698"/>
      <c r="P118" s="698"/>
      <c r="Q118" s="698"/>
      <c r="R118" s="698"/>
      <c r="S118" s="698"/>
      <c r="T118" s="698"/>
      <c r="U118" s="698"/>
      <c r="V118" s="698"/>
      <c r="W118" s="698"/>
      <c r="X118" s="696"/>
      <c r="Y118" s="698"/>
      <c r="Z118" s="146"/>
      <c r="AA118" s="146"/>
      <c r="AB118" s="146"/>
      <c r="AC118" s="328"/>
      <c r="AD118" s="328"/>
      <c r="AE118" s="328"/>
      <c r="AF118" s="328"/>
      <c r="AG118" s="146"/>
      <c r="AH118" s="146"/>
      <c r="AI118" s="146"/>
      <c r="AJ118" s="328"/>
      <c r="AK118" s="328"/>
      <c r="AL118" s="328"/>
      <c r="AM118" s="146"/>
      <c r="AN118" s="146"/>
      <c r="AO118" s="146"/>
      <c r="AP118" s="146"/>
      <c r="AQ118" s="146"/>
      <c r="AR118" s="146"/>
    </row>
    <row r="119" spans="1:44" x14ac:dyDescent="0.25">
      <c r="A119" s="698"/>
      <c r="B119" s="698"/>
      <c r="C119" s="698"/>
      <c r="D119" s="698"/>
      <c r="E119" s="698"/>
      <c r="F119" s="698"/>
      <c r="G119" s="698"/>
      <c r="H119" s="698"/>
      <c r="I119" s="698"/>
      <c r="J119" s="698"/>
      <c r="K119" s="700"/>
      <c r="L119" s="698"/>
      <c r="M119" s="698"/>
      <c r="N119" s="698"/>
      <c r="O119" s="698"/>
      <c r="P119" s="698"/>
      <c r="Q119" s="698"/>
      <c r="R119" s="698"/>
      <c r="S119" s="698"/>
      <c r="T119" s="698"/>
      <c r="U119" s="698"/>
      <c r="V119" s="698"/>
      <c r="W119" s="698"/>
      <c r="X119" s="696"/>
      <c r="Y119" s="698"/>
      <c r="Z119" s="146"/>
      <c r="AA119" s="146"/>
      <c r="AB119" s="146"/>
      <c r="AC119" s="328"/>
      <c r="AD119" s="328"/>
      <c r="AE119" s="328"/>
      <c r="AF119" s="328"/>
      <c r="AG119" s="146"/>
      <c r="AH119" s="146"/>
      <c r="AI119" s="146"/>
      <c r="AJ119" s="328"/>
      <c r="AK119" s="328"/>
      <c r="AL119" s="328"/>
      <c r="AM119" s="146"/>
      <c r="AN119" s="146"/>
      <c r="AO119" s="146"/>
      <c r="AP119" s="146"/>
      <c r="AQ119" s="146"/>
      <c r="AR119" s="146"/>
    </row>
    <row r="120" spans="1:44" x14ac:dyDescent="0.25">
      <c r="A120" s="698"/>
      <c r="B120" s="698"/>
      <c r="C120" s="698"/>
      <c r="D120" s="698"/>
      <c r="E120" s="698"/>
      <c r="F120" s="698"/>
      <c r="G120" s="698"/>
      <c r="H120" s="698"/>
      <c r="I120" s="698"/>
      <c r="J120" s="698"/>
      <c r="K120" s="700"/>
      <c r="L120" s="698"/>
      <c r="M120" s="698"/>
      <c r="N120" s="698"/>
      <c r="O120" s="698"/>
      <c r="P120" s="698"/>
      <c r="Q120" s="698"/>
      <c r="R120" s="698"/>
      <c r="S120" s="698"/>
      <c r="T120" s="698"/>
      <c r="U120" s="698"/>
      <c r="V120" s="698"/>
      <c r="W120" s="698"/>
      <c r="X120" s="698"/>
      <c r="Y120" s="698"/>
      <c r="Z120" s="146"/>
      <c r="AA120" s="146"/>
      <c r="AB120" s="146"/>
      <c r="AC120" s="328"/>
      <c r="AD120" s="328"/>
      <c r="AE120" s="328"/>
      <c r="AF120" s="328"/>
      <c r="AG120" s="146"/>
      <c r="AH120" s="146"/>
      <c r="AI120" s="146"/>
      <c r="AJ120" s="328"/>
      <c r="AK120" s="328"/>
      <c r="AL120" s="328"/>
      <c r="AM120" s="146"/>
      <c r="AN120" s="146"/>
      <c r="AO120" s="146"/>
      <c r="AP120" s="146"/>
      <c r="AQ120" s="146"/>
      <c r="AR120" s="146"/>
    </row>
    <row r="121" spans="1:44" x14ac:dyDescent="0.25">
      <c r="A121" s="698"/>
      <c r="B121" s="698"/>
      <c r="C121" s="698"/>
      <c r="D121" s="698"/>
      <c r="E121" s="698"/>
      <c r="F121" s="698"/>
      <c r="G121" s="698"/>
      <c r="H121" s="698"/>
      <c r="I121" s="698"/>
      <c r="J121" s="698"/>
      <c r="K121" s="700"/>
      <c r="L121" s="698"/>
      <c r="M121" s="698"/>
      <c r="N121" s="698"/>
      <c r="O121" s="698"/>
      <c r="P121" s="698"/>
      <c r="Q121" s="698"/>
      <c r="R121" s="698"/>
      <c r="S121" s="698"/>
      <c r="T121" s="698"/>
      <c r="U121" s="698"/>
      <c r="V121" s="698"/>
      <c r="W121" s="698"/>
      <c r="X121" s="698"/>
      <c r="Y121" s="698"/>
      <c r="Z121" s="146"/>
      <c r="AA121" s="146"/>
      <c r="AB121" s="146"/>
      <c r="AC121" s="328"/>
      <c r="AD121" s="328"/>
      <c r="AE121" s="328"/>
      <c r="AF121" s="328"/>
      <c r="AG121" s="146"/>
      <c r="AH121" s="146"/>
      <c r="AI121" s="146"/>
      <c r="AJ121" s="328"/>
      <c r="AK121" s="328"/>
      <c r="AL121" s="328"/>
      <c r="AM121" s="146"/>
      <c r="AN121" s="146"/>
      <c r="AO121" s="146"/>
      <c r="AP121" s="146"/>
      <c r="AQ121" s="146"/>
      <c r="AR121" s="146"/>
    </row>
    <row r="122" spans="1:44" x14ac:dyDescent="0.25">
      <c r="A122" s="698"/>
      <c r="B122" s="698"/>
      <c r="C122" s="698"/>
      <c r="D122" s="698"/>
      <c r="E122" s="698"/>
      <c r="F122" s="698"/>
      <c r="G122" s="698"/>
      <c r="H122" s="698"/>
      <c r="I122" s="698"/>
      <c r="J122" s="698"/>
      <c r="K122" s="700"/>
      <c r="L122" s="698"/>
      <c r="M122" s="698"/>
      <c r="N122" s="698"/>
      <c r="O122" s="698"/>
      <c r="P122" s="698"/>
      <c r="Q122" s="698"/>
      <c r="R122" s="698"/>
      <c r="S122" s="698"/>
      <c r="T122" s="698"/>
      <c r="U122" s="698"/>
      <c r="V122" s="698"/>
      <c r="W122" s="698"/>
      <c r="X122" s="698"/>
      <c r="Y122" s="698"/>
      <c r="Z122" s="146"/>
      <c r="AA122" s="146"/>
      <c r="AB122" s="146"/>
      <c r="AC122" s="328"/>
      <c r="AD122" s="328"/>
      <c r="AE122" s="328"/>
      <c r="AF122" s="328"/>
      <c r="AG122" s="146"/>
      <c r="AH122" s="146"/>
      <c r="AI122" s="146"/>
      <c r="AJ122" s="328"/>
      <c r="AK122" s="328"/>
      <c r="AL122" s="328"/>
      <c r="AM122" s="146"/>
      <c r="AN122" s="146"/>
      <c r="AO122" s="146"/>
      <c r="AP122" s="146"/>
      <c r="AQ122" s="146"/>
      <c r="AR122" s="146"/>
    </row>
    <row r="123" spans="1:44" x14ac:dyDescent="0.25">
      <c r="A123" s="698"/>
      <c r="B123" s="698"/>
      <c r="C123" s="698"/>
      <c r="D123" s="698"/>
      <c r="E123" s="698"/>
      <c r="F123" s="698"/>
      <c r="G123" s="698"/>
      <c r="H123" s="698"/>
      <c r="I123" s="698"/>
      <c r="J123" s="698"/>
      <c r="K123" s="700"/>
      <c r="L123" s="698"/>
      <c r="M123" s="698"/>
      <c r="N123" s="698"/>
      <c r="O123" s="698"/>
      <c r="P123" s="698"/>
      <c r="Q123" s="698"/>
      <c r="R123" s="698"/>
      <c r="S123" s="698"/>
      <c r="T123" s="698"/>
      <c r="U123" s="698"/>
      <c r="V123" s="698"/>
      <c r="W123" s="698"/>
      <c r="X123" s="698"/>
      <c r="Y123" s="698"/>
      <c r="Z123" s="146"/>
      <c r="AA123" s="146"/>
      <c r="AB123" s="146"/>
      <c r="AC123" s="328"/>
      <c r="AD123" s="328"/>
      <c r="AE123" s="328"/>
      <c r="AF123" s="328"/>
      <c r="AG123" s="146"/>
      <c r="AH123" s="146"/>
      <c r="AI123" s="146"/>
      <c r="AJ123" s="328"/>
      <c r="AK123" s="328"/>
      <c r="AL123" s="328"/>
      <c r="AM123" s="146"/>
      <c r="AN123" s="146"/>
      <c r="AO123" s="146"/>
      <c r="AP123" s="146"/>
      <c r="AQ123" s="146"/>
      <c r="AR123" s="146"/>
    </row>
    <row r="124" spans="1:44" x14ac:dyDescent="0.25">
      <c r="A124" s="698"/>
      <c r="B124" s="698"/>
      <c r="C124" s="698"/>
      <c r="D124" s="698"/>
      <c r="E124" s="698"/>
      <c r="F124" s="698"/>
      <c r="G124" s="698"/>
      <c r="H124" s="698"/>
      <c r="I124" s="698"/>
      <c r="J124" s="698"/>
      <c r="K124" s="700"/>
      <c r="L124" s="698"/>
      <c r="M124" s="698"/>
      <c r="N124" s="698"/>
      <c r="O124" s="698"/>
      <c r="P124" s="698"/>
      <c r="Q124" s="698"/>
      <c r="R124" s="698"/>
      <c r="S124" s="698"/>
      <c r="T124" s="698"/>
      <c r="U124" s="698"/>
      <c r="V124" s="698"/>
      <c r="W124" s="698"/>
      <c r="X124" s="698"/>
      <c r="Y124" s="698"/>
      <c r="Z124" s="146"/>
      <c r="AA124" s="146"/>
      <c r="AB124" s="146"/>
      <c r="AC124" s="328"/>
      <c r="AD124" s="328"/>
      <c r="AE124" s="328"/>
      <c r="AF124" s="328"/>
      <c r="AG124" s="146"/>
      <c r="AH124" s="146"/>
      <c r="AI124" s="146"/>
      <c r="AJ124" s="328"/>
      <c r="AK124" s="328"/>
      <c r="AL124" s="328"/>
      <c r="AM124" s="146"/>
      <c r="AN124" s="146"/>
      <c r="AO124" s="146"/>
      <c r="AP124" s="146"/>
      <c r="AQ124" s="146"/>
      <c r="AR124" s="146"/>
    </row>
    <row r="125" spans="1:44" x14ac:dyDescent="0.25">
      <c r="A125" s="698"/>
      <c r="B125" s="698"/>
      <c r="C125" s="698"/>
      <c r="D125" s="698"/>
      <c r="E125" s="698"/>
      <c r="F125" s="698"/>
      <c r="G125" s="698"/>
      <c r="H125" s="698"/>
      <c r="I125" s="698"/>
      <c r="J125" s="698"/>
      <c r="K125" s="700"/>
      <c r="L125" s="698"/>
      <c r="M125" s="698"/>
      <c r="N125" s="698"/>
      <c r="O125" s="698"/>
      <c r="P125" s="698"/>
      <c r="Q125" s="698"/>
      <c r="R125" s="698"/>
      <c r="S125" s="698"/>
      <c r="T125" s="698"/>
      <c r="U125" s="698"/>
      <c r="V125" s="698"/>
      <c r="W125" s="698"/>
      <c r="X125" s="698"/>
      <c r="Y125" s="698"/>
      <c r="Z125" s="146"/>
      <c r="AA125" s="146"/>
      <c r="AB125" s="146"/>
      <c r="AC125" s="328"/>
      <c r="AD125" s="328"/>
      <c r="AE125" s="328"/>
      <c r="AF125" s="328"/>
      <c r="AG125" s="146"/>
      <c r="AH125" s="146"/>
      <c r="AI125" s="146"/>
      <c r="AJ125" s="328"/>
      <c r="AK125" s="328"/>
      <c r="AL125" s="328"/>
      <c r="AM125" s="146"/>
      <c r="AN125" s="146"/>
      <c r="AO125" s="146"/>
      <c r="AP125" s="146"/>
      <c r="AQ125" s="146"/>
      <c r="AR125" s="146"/>
    </row>
    <row r="126" spans="1:44" x14ac:dyDescent="0.25">
      <c r="A126" s="698"/>
      <c r="B126" s="698"/>
      <c r="C126" s="698"/>
      <c r="D126" s="698"/>
      <c r="E126" s="698"/>
      <c r="F126" s="698"/>
      <c r="G126" s="698"/>
      <c r="H126" s="698"/>
      <c r="I126" s="698"/>
      <c r="J126" s="698"/>
      <c r="K126" s="700"/>
      <c r="L126" s="698"/>
      <c r="M126" s="698"/>
      <c r="N126" s="698"/>
      <c r="O126" s="698"/>
      <c r="P126" s="698"/>
      <c r="Q126" s="698"/>
      <c r="R126" s="698"/>
      <c r="S126" s="698"/>
      <c r="T126" s="698"/>
      <c r="U126" s="698"/>
      <c r="V126" s="698"/>
      <c r="W126" s="698"/>
      <c r="X126" s="698"/>
      <c r="Y126" s="698"/>
      <c r="Z126" s="146"/>
      <c r="AA126" s="146"/>
      <c r="AB126" s="146"/>
      <c r="AC126" s="328"/>
      <c r="AD126" s="328"/>
      <c r="AE126" s="328"/>
      <c r="AF126" s="328"/>
      <c r="AG126" s="146"/>
      <c r="AH126" s="146"/>
      <c r="AI126" s="146"/>
      <c r="AJ126" s="328"/>
      <c r="AK126" s="328"/>
      <c r="AL126" s="328"/>
      <c r="AM126" s="146"/>
      <c r="AN126" s="146"/>
      <c r="AO126" s="146"/>
      <c r="AP126" s="146"/>
      <c r="AQ126" s="146"/>
      <c r="AR126" s="146"/>
    </row>
    <row r="127" spans="1:44" x14ac:dyDescent="0.25">
      <c r="A127" s="146"/>
      <c r="B127" s="146"/>
      <c r="C127" s="146"/>
      <c r="D127" s="146"/>
      <c r="E127" s="146"/>
      <c r="F127" s="146"/>
      <c r="G127" s="146"/>
      <c r="H127" s="146"/>
      <c r="I127" s="146"/>
      <c r="J127" s="146"/>
      <c r="L127" s="146"/>
      <c r="M127" s="146"/>
      <c r="N127" s="146"/>
      <c r="O127" s="146"/>
      <c r="P127" s="146"/>
      <c r="Q127" s="146"/>
      <c r="R127" s="146"/>
      <c r="S127" s="146"/>
      <c r="T127" s="146"/>
      <c r="U127" s="146"/>
      <c r="V127" s="146"/>
      <c r="W127" s="146"/>
      <c r="X127" s="146"/>
      <c r="Y127" s="146"/>
      <c r="Z127" s="146"/>
      <c r="AA127" s="146"/>
      <c r="AB127" s="146"/>
      <c r="AC127" s="328"/>
      <c r="AD127" s="328"/>
      <c r="AE127" s="328"/>
      <c r="AF127" s="328"/>
      <c r="AG127" s="146"/>
      <c r="AH127" s="146"/>
      <c r="AI127" s="146"/>
      <c r="AJ127" s="328"/>
      <c r="AK127" s="328"/>
      <c r="AL127" s="328"/>
      <c r="AM127" s="146"/>
      <c r="AN127" s="146"/>
      <c r="AO127" s="146"/>
      <c r="AP127" s="146"/>
      <c r="AQ127" s="146"/>
      <c r="AR127" s="146"/>
    </row>
    <row r="128" spans="1:44" x14ac:dyDescent="0.25">
      <c r="A128" s="146"/>
      <c r="B128" s="146"/>
      <c r="C128" s="146"/>
      <c r="D128" s="146"/>
      <c r="E128" s="146"/>
      <c r="F128" s="146"/>
      <c r="G128" s="146"/>
      <c r="H128" s="146"/>
      <c r="I128" s="146"/>
      <c r="J128" s="146"/>
      <c r="L128" s="146"/>
      <c r="M128" s="146"/>
      <c r="N128" s="146"/>
      <c r="O128" s="146"/>
      <c r="P128" s="146"/>
      <c r="Q128" s="146"/>
      <c r="R128" s="146"/>
      <c r="S128" s="146"/>
      <c r="T128" s="146"/>
      <c r="U128" s="146"/>
      <c r="V128" s="146"/>
      <c r="W128" s="146"/>
      <c r="X128" s="146"/>
      <c r="Y128" s="146"/>
      <c r="Z128" s="146"/>
      <c r="AA128" s="146"/>
      <c r="AB128" s="146"/>
      <c r="AC128" s="328"/>
      <c r="AD128" s="328"/>
      <c r="AE128" s="328"/>
      <c r="AF128" s="328"/>
      <c r="AG128" s="146"/>
      <c r="AH128" s="146"/>
      <c r="AI128" s="146"/>
      <c r="AJ128" s="328"/>
      <c r="AK128" s="328"/>
      <c r="AL128" s="328"/>
      <c r="AM128" s="146"/>
      <c r="AN128" s="146"/>
      <c r="AO128" s="146"/>
      <c r="AP128" s="146"/>
      <c r="AQ128" s="146"/>
      <c r="AR128" s="146"/>
    </row>
  </sheetData>
  <mergeCells count="35">
    <mergeCell ref="A112:Y112"/>
    <mergeCell ref="U79:Y79"/>
    <mergeCell ref="A42:A43"/>
    <mergeCell ref="A111:Y111"/>
    <mergeCell ref="A78:A79"/>
    <mergeCell ref="F79:J79"/>
    <mergeCell ref="B79:E79"/>
    <mergeCell ref="P43:T43"/>
    <mergeCell ref="P79:T79"/>
    <mergeCell ref="U43:Y43"/>
    <mergeCell ref="F43:J43"/>
    <mergeCell ref="K43:O43"/>
    <mergeCell ref="Z79:AD79"/>
    <mergeCell ref="A77:AD77"/>
    <mergeCell ref="A41:AD41"/>
    <mergeCell ref="A24:AD24"/>
    <mergeCell ref="P26:T26"/>
    <mergeCell ref="K79:O79"/>
    <mergeCell ref="B43:E43"/>
    <mergeCell ref="U26:Y26"/>
    <mergeCell ref="F26:J26"/>
    <mergeCell ref="K26:O26"/>
    <mergeCell ref="B26:E26"/>
    <mergeCell ref="A25:A26"/>
    <mergeCell ref="A3:AD3"/>
    <mergeCell ref="A1:AD1"/>
    <mergeCell ref="Z5:AD5"/>
    <mergeCell ref="Z26:AD26"/>
    <mergeCell ref="Z43:AD43"/>
    <mergeCell ref="F5:J5"/>
    <mergeCell ref="P5:T5"/>
    <mergeCell ref="A4:A5"/>
    <mergeCell ref="B5:E5"/>
    <mergeCell ref="U5:Y5"/>
    <mergeCell ref="K5:O5"/>
  </mergeCells>
  <phoneticPr fontId="15" type="noConversion"/>
  <printOptions horizontalCentered="1" verticalCentered="1"/>
  <pageMargins left="0.25" right="0.49" top="0.2" bottom="0.38" header="0.17" footer="0.25"/>
  <pageSetup scale="55" orientation="landscape" horizontalDpi="4294967293" r:id="rId1"/>
  <headerFooter alignWithMargins="0">
    <oddFooter>&amp;RSource: Office of Institutional Research</oddFooter>
  </headerFooter>
  <rowBreaks count="2" manualBreakCount="2">
    <brk id="40" max="17" man="1"/>
    <brk id="111" max="17" man="1"/>
  </rowBreaks>
  <webPublishItems count="1">
    <webPublishItem id="30527" divId="2004_2005 FACT BOOK WORKING COPY_30527" sourceType="sheet" destinationFile="C:\Documents and Settings\mkirkpatrick\My Documents\2004-2005 FACT BOOK\2004-2005 fact book WEB PAGES\04_05Summer_FTE.htm"/>
  </webPublishItem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I34"/>
  <sheetViews>
    <sheetView workbookViewId="0">
      <selection sqref="A1:G1"/>
    </sheetView>
  </sheetViews>
  <sheetFormatPr defaultColWidth="6.6640625" defaultRowHeight="13.2" x14ac:dyDescent="0.25"/>
  <cols>
    <col min="1" max="7" width="10.6640625" style="174" customWidth="1"/>
    <col min="8" max="16384" width="6.6640625" style="174"/>
  </cols>
  <sheetData>
    <row r="1" spans="1:9" ht="17.399999999999999" x14ac:dyDescent="0.3">
      <c r="A1" s="1750" t="s">
        <v>1029</v>
      </c>
      <c r="B1" s="1750"/>
      <c r="C1" s="1750"/>
      <c r="D1" s="1750"/>
      <c r="E1" s="1750"/>
      <c r="F1" s="1750"/>
      <c r="G1" s="1750"/>
    </row>
    <row r="2" spans="1:9" ht="17.399999999999999" x14ac:dyDescent="0.3">
      <c r="A2" s="1750" t="s">
        <v>1030</v>
      </c>
      <c r="B2" s="1750"/>
      <c r="C2" s="1750"/>
      <c r="D2" s="1750"/>
      <c r="E2" s="1750"/>
      <c r="F2" s="1750"/>
      <c r="G2" s="1750"/>
    </row>
    <row r="4" spans="1:9" x14ac:dyDescent="0.25">
      <c r="A4" s="175"/>
      <c r="B4" s="176" t="s">
        <v>1019</v>
      </c>
      <c r="C4" s="177"/>
      <c r="D4" s="178"/>
      <c r="E4" s="177" t="s">
        <v>1031</v>
      </c>
      <c r="F4" s="177"/>
      <c r="G4" s="178"/>
    </row>
    <row r="5" spans="1:9" ht="15.6" x14ac:dyDescent="0.25">
      <c r="A5" s="179"/>
      <c r="B5" s="180" t="s">
        <v>1021</v>
      </c>
      <c r="C5" s="180" t="s">
        <v>1022</v>
      </c>
      <c r="D5" s="181" t="s">
        <v>780</v>
      </c>
      <c r="E5" s="180" t="s">
        <v>1021</v>
      </c>
      <c r="F5" s="180" t="s">
        <v>1022</v>
      </c>
      <c r="G5" s="181" t="s">
        <v>780</v>
      </c>
    </row>
    <row r="6" spans="1:9" x14ac:dyDescent="0.25">
      <c r="A6" s="421"/>
      <c r="B6" s="422"/>
      <c r="C6" s="422"/>
      <c r="D6" s="423"/>
      <c r="E6" s="424"/>
      <c r="F6" s="424"/>
      <c r="G6" s="425"/>
    </row>
    <row r="7" spans="1:9" x14ac:dyDescent="0.25">
      <c r="A7" s="182">
        <v>2009</v>
      </c>
      <c r="B7" s="187">
        <v>804</v>
      </c>
      <c r="C7" s="183">
        <v>158</v>
      </c>
      <c r="D7" s="184">
        <f>B7+C7</f>
        <v>962</v>
      </c>
      <c r="E7" s="188">
        <v>3818</v>
      </c>
      <c r="F7" s="185">
        <v>870</v>
      </c>
      <c r="G7" s="186">
        <f>E7+F7</f>
        <v>4688</v>
      </c>
    </row>
    <row r="8" spans="1:9" x14ac:dyDescent="0.25">
      <c r="A8" s="421"/>
      <c r="B8" s="422"/>
      <c r="C8" s="422"/>
      <c r="D8" s="423"/>
      <c r="E8" s="424"/>
      <c r="F8" s="424"/>
      <c r="G8" s="425"/>
    </row>
    <row r="9" spans="1:9" x14ac:dyDescent="0.25">
      <c r="A9" s="182">
        <v>2010</v>
      </c>
      <c r="B9" s="187">
        <v>812</v>
      </c>
      <c r="C9" s="183">
        <v>202</v>
      </c>
      <c r="D9" s="184">
        <f>B9+C9</f>
        <v>1014</v>
      </c>
      <c r="E9" s="188">
        <v>4026</v>
      </c>
      <c r="F9" s="185">
        <v>1131</v>
      </c>
      <c r="G9" s="186">
        <f>E9+F9</f>
        <v>5157</v>
      </c>
    </row>
    <row r="10" spans="1:9" x14ac:dyDescent="0.25">
      <c r="A10" s="421"/>
      <c r="B10" s="422"/>
      <c r="C10" s="422"/>
      <c r="D10" s="423"/>
      <c r="E10" s="424"/>
      <c r="F10" s="424"/>
      <c r="G10" s="425"/>
    </row>
    <row r="11" spans="1:9" x14ac:dyDescent="0.25">
      <c r="A11" s="182">
        <v>2011</v>
      </c>
      <c r="B11" s="187">
        <v>794</v>
      </c>
      <c r="C11" s="183">
        <v>220</v>
      </c>
      <c r="D11" s="184">
        <f>B11+C11</f>
        <v>1014</v>
      </c>
      <c r="E11" s="188">
        <v>4068</v>
      </c>
      <c r="F11" s="185">
        <v>1113</v>
      </c>
      <c r="G11" s="186">
        <f>E11+F11</f>
        <v>5181</v>
      </c>
    </row>
    <row r="12" spans="1:9" x14ac:dyDescent="0.25">
      <c r="A12" s="421"/>
      <c r="B12" s="422"/>
      <c r="C12" s="422"/>
      <c r="D12" s="423"/>
      <c r="E12" s="424"/>
      <c r="F12" s="424"/>
      <c r="G12" s="425"/>
    </row>
    <row r="13" spans="1:9" x14ac:dyDescent="0.25">
      <c r="A13" s="182">
        <v>2012</v>
      </c>
      <c r="B13" s="187">
        <v>738</v>
      </c>
      <c r="C13" s="183">
        <v>243</v>
      </c>
      <c r="D13" s="184">
        <f>B13+C13</f>
        <v>981</v>
      </c>
      <c r="E13" s="188">
        <v>4321</v>
      </c>
      <c r="F13" s="185">
        <v>1143</v>
      </c>
      <c r="G13" s="186">
        <f>E13+F13</f>
        <v>5464</v>
      </c>
    </row>
    <row r="14" spans="1:9" x14ac:dyDescent="0.25">
      <c r="A14" s="421"/>
      <c r="B14" s="422"/>
      <c r="C14" s="422"/>
      <c r="D14" s="423"/>
      <c r="E14" s="424"/>
      <c r="F14" s="424"/>
      <c r="G14" s="425"/>
    </row>
    <row r="15" spans="1:9" x14ac:dyDescent="0.25">
      <c r="A15" s="182">
        <v>2013</v>
      </c>
      <c r="B15" s="187">
        <v>719</v>
      </c>
      <c r="C15" s="183">
        <v>185</v>
      </c>
      <c r="D15" s="184">
        <f>B15+C15</f>
        <v>904</v>
      </c>
      <c r="E15" s="188">
        <v>3831</v>
      </c>
      <c r="F15" s="185">
        <v>984</v>
      </c>
      <c r="G15" s="186">
        <f>E15+F15</f>
        <v>4815</v>
      </c>
      <c r="I15" s="474"/>
    </row>
    <row r="16" spans="1:9" s="189" customFormat="1" x14ac:dyDescent="0.25">
      <c r="A16" s="421"/>
      <c r="B16" s="422"/>
      <c r="C16" s="422"/>
      <c r="D16" s="423"/>
      <c r="E16" s="424"/>
      <c r="F16" s="424"/>
      <c r="G16" s="425"/>
    </row>
    <row r="17" spans="1:7" x14ac:dyDescent="0.25">
      <c r="B17" s="190"/>
      <c r="C17" s="190"/>
      <c r="D17" s="190"/>
      <c r="E17" s="190"/>
      <c r="F17" s="190"/>
      <c r="G17" s="190"/>
    </row>
    <row r="18" spans="1:7" x14ac:dyDescent="0.25">
      <c r="A18" s="190"/>
      <c r="B18" s="190"/>
      <c r="C18" s="190"/>
      <c r="D18" s="190"/>
      <c r="E18" s="190"/>
      <c r="F18" s="190"/>
      <c r="G18" s="190"/>
    </row>
    <row r="19" spans="1:7" x14ac:dyDescent="0.25">
      <c r="A19" s="190"/>
      <c r="B19" s="190"/>
      <c r="C19" s="190"/>
      <c r="D19" s="190"/>
      <c r="E19" s="190"/>
      <c r="F19" s="190"/>
      <c r="G19" s="190"/>
    </row>
    <row r="20" spans="1:7" x14ac:dyDescent="0.25">
      <c r="A20" s="190"/>
      <c r="B20" s="190"/>
      <c r="C20" s="190"/>
      <c r="D20" s="190"/>
      <c r="E20" s="190"/>
      <c r="F20" s="190"/>
      <c r="G20" s="190"/>
    </row>
    <row r="21" spans="1:7" x14ac:dyDescent="0.25">
      <c r="A21" s="190"/>
      <c r="B21" s="190"/>
      <c r="C21" s="190"/>
      <c r="D21" s="190"/>
      <c r="E21" s="190"/>
      <c r="F21" s="190"/>
      <c r="G21" s="190"/>
    </row>
    <row r="22" spans="1:7" x14ac:dyDescent="0.25">
      <c r="A22" s="190"/>
      <c r="B22" s="190"/>
      <c r="C22" s="190"/>
      <c r="D22" s="190"/>
      <c r="E22" s="190"/>
      <c r="F22" s="190"/>
      <c r="G22" s="190"/>
    </row>
    <row r="23" spans="1:7" x14ac:dyDescent="0.25">
      <c r="A23" s="190"/>
      <c r="B23" s="190"/>
      <c r="C23" s="190"/>
      <c r="D23" s="190"/>
      <c r="E23" s="190"/>
      <c r="F23" s="190"/>
      <c r="G23" s="190"/>
    </row>
    <row r="24" spans="1:7" x14ac:dyDescent="0.25">
      <c r="A24" s="190"/>
      <c r="B24" s="190"/>
      <c r="C24" s="190"/>
      <c r="D24" s="190"/>
      <c r="E24" s="190"/>
      <c r="F24" s="190"/>
      <c r="G24" s="190"/>
    </row>
    <row r="25" spans="1:7" x14ac:dyDescent="0.25">
      <c r="A25" s="190"/>
      <c r="B25" s="190"/>
      <c r="C25" s="190"/>
      <c r="D25" s="190"/>
      <c r="E25" s="190"/>
      <c r="F25" s="190"/>
      <c r="G25" s="190"/>
    </row>
    <row r="26" spans="1:7" x14ac:dyDescent="0.25">
      <c r="A26" s="190"/>
      <c r="B26" s="190"/>
      <c r="C26" s="190"/>
      <c r="D26" s="190"/>
      <c r="E26" s="190"/>
      <c r="F26" s="190"/>
      <c r="G26" s="190"/>
    </row>
    <row r="27" spans="1:7" x14ac:dyDescent="0.25">
      <c r="A27" s="190"/>
      <c r="B27" s="190"/>
      <c r="C27" s="190"/>
      <c r="D27" s="190"/>
      <c r="E27" s="190"/>
      <c r="F27" s="190"/>
      <c r="G27" s="190"/>
    </row>
    <row r="28" spans="1:7" x14ac:dyDescent="0.25">
      <c r="A28" s="190"/>
      <c r="B28" s="190"/>
      <c r="C28" s="190"/>
      <c r="D28" s="190"/>
      <c r="E28" s="190"/>
      <c r="F28" s="190"/>
      <c r="G28" s="190"/>
    </row>
    <row r="29" spans="1:7" x14ac:dyDescent="0.25">
      <c r="A29" s="190"/>
      <c r="B29" s="190"/>
      <c r="C29" s="190"/>
      <c r="D29" s="190"/>
      <c r="E29" s="190"/>
      <c r="F29" s="190"/>
      <c r="G29" s="190"/>
    </row>
    <row r="30" spans="1:7" x14ac:dyDescent="0.25">
      <c r="A30" s="190"/>
      <c r="B30" s="190"/>
      <c r="C30" s="190"/>
      <c r="D30" s="190"/>
      <c r="E30" s="190"/>
      <c r="F30" s="190"/>
      <c r="G30" s="190"/>
    </row>
    <row r="31" spans="1:7" x14ac:dyDescent="0.25">
      <c r="A31" s="190"/>
      <c r="B31" s="190"/>
      <c r="C31" s="190"/>
      <c r="D31" s="190"/>
      <c r="E31" s="190"/>
      <c r="F31" s="190"/>
      <c r="G31" s="190"/>
    </row>
    <row r="32" spans="1:7" x14ac:dyDescent="0.25">
      <c r="A32" s="190"/>
      <c r="B32" s="190"/>
      <c r="C32" s="190"/>
      <c r="D32" s="190"/>
      <c r="E32" s="190"/>
      <c r="F32" s="190"/>
      <c r="G32" s="190"/>
    </row>
    <row r="33" spans="1:7" x14ac:dyDescent="0.25">
      <c r="A33" s="190"/>
      <c r="B33" s="190"/>
      <c r="C33" s="190"/>
      <c r="D33" s="190"/>
      <c r="E33" s="190"/>
      <c r="F33" s="190"/>
      <c r="G33" s="190"/>
    </row>
    <row r="34" spans="1:7" x14ac:dyDescent="0.25">
      <c r="A34" s="190"/>
      <c r="B34" s="190"/>
      <c r="C34" s="190"/>
      <c r="D34" s="190"/>
      <c r="E34" s="190"/>
      <c r="F34" s="190"/>
      <c r="G34" s="190"/>
    </row>
  </sheetData>
  <mergeCells count="2">
    <mergeCell ref="A1:G1"/>
    <mergeCell ref="A2:G2"/>
  </mergeCells>
  <phoneticPr fontId="15" type="noConversion"/>
  <printOptions horizontalCentered="1" verticalCentered="1"/>
  <pageMargins left="0.75" right="0.75" top="1" bottom="1" header="0.5" footer="0.5"/>
  <pageSetup orientation="portrait" horizontalDpi="4294967293" r:id="rId1"/>
  <headerFooter alignWithMargins="0">
    <oddFooter>&amp;L&amp;8Source: Office of Institutional Research</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Y27"/>
  <sheetViews>
    <sheetView workbookViewId="0">
      <selection sqref="A1:L1"/>
    </sheetView>
  </sheetViews>
  <sheetFormatPr defaultColWidth="6.6640625" defaultRowHeight="13.2" x14ac:dyDescent="0.25"/>
  <cols>
    <col min="1" max="1" width="20.109375" style="191" customWidth="1"/>
    <col min="2" max="2" width="12.6640625" style="191" hidden="1" customWidth="1"/>
    <col min="3" max="12" width="12.6640625" style="191" customWidth="1"/>
    <col min="13" max="14" width="12.5546875" style="191" customWidth="1"/>
    <col min="15" max="17" width="6.6640625" style="191" customWidth="1"/>
    <col min="18" max="18" width="19.44140625" style="191" bestFit="1" customWidth="1"/>
    <col min="19" max="16384" width="6.6640625" style="191"/>
  </cols>
  <sheetData>
    <row r="1" spans="1:25" ht="39" customHeight="1" x14ac:dyDescent="0.35">
      <c r="A1" s="1753" t="s">
        <v>1032</v>
      </c>
      <c r="B1" s="1753"/>
      <c r="C1" s="1753"/>
      <c r="D1" s="1753"/>
      <c r="E1" s="1753"/>
      <c r="F1" s="1753"/>
      <c r="G1" s="1753"/>
      <c r="H1" s="1753"/>
      <c r="I1" s="1753"/>
      <c r="J1" s="1753"/>
      <c r="K1" s="1753"/>
      <c r="L1" s="1753"/>
    </row>
    <row r="2" spans="1:25" ht="12.75" customHeight="1" x14ac:dyDescent="0.35">
      <c r="A2" s="193"/>
      <c r="B2" s="193"/>
      <c r="C2" s="194"/>
      <c r="D2" s="194"/>
      <c r="E2" s="194"/>
      <c r="F2" s="194"/>
      <c r="G2" s="194"/>
      <c r="I2" s="195"/>
      <c r="K2" s="195"/>
      <c r="R2" s="1286" t="s">
        <v>1311</v>
      </c>
      <c r="S2" s="1287"/>
    </row>
    <row r="3" spans="1:25" x14ac:dyDescent="0.25">
      <c r="A3" s="196"/>
      <c r="B3" s="503">
        <v>2007</v>
      </c>
      <c r="C3" s="1751">
        <f>+B3+1</f>
        <v>2008</v>
      </c>
      <c r="D3" s="1752"/>
      <c r="E3" s="1751">
        <f>+C3+1</f>
        <v>2009</v>
      </c>
      <c r="F3" s="1752"/>
      <c r="G3" s="1751">
        <f>+E3+1</f>
        <v>2010</v>
      </c>
      <c r="H3" s="1752"/>
      <c r="I3" s="1751">
        <f>+G3+1</f>
        <v>2011</v>
      </c>
      <c r="J3" s="1752"/>
      <c r="K3" s="1751">
        <f>+I3+1</f>
        <v>2012</v>
      </c>
      <c r="L3" s="1752"/>
    </row>
    <row r="4" spans="1:25" ht="30" customHeight="1" x14ac:dyDescent="0.25">
      <c r="A4" s="197" t="s">
        <v>1312</v>
      </c>
      <c r="B4" s="476" t="s">
        <v>1033</v>
      </c>
      <c r="C4" s="198" t="s">
        <v>1033</v>
      </c>
      <c r="D4" s="199" t="s">
        <v>1034</v>
      </c>
      <c r="E4" s="198" t="s">
        <v>1033</v>
      </c>
      <c r="F4" s="199" t="s">
        <v>1034</v>
      </c>
      <c r="G4" s="198" t="s">
        <v>1033</v>
      </c>
      <c r="H4" s="199" t="s">
        <v>1034</v>
      </c>
      <c r="I4" s="198" t="s">
        <v>1033</v>
      </c>
      <c r="J4" s="199" t="s">
        <v>1034</v>
      </c>
      <c r="K4" s="198" t="s">
        <v>1033</v>
      </c>
      <c r="L4" s="199" t="s">
        <v>1034</v>
      </c>
      <c r="R4" s="1287"/>
      <c r="S4" s="1287">
        <v>2007</v>
      </c>
      <c r="T4" s="1287">
        <f>+S4+1</f>
        <v>2008</v>
      </c>
      <c r="U4" s="1287">
        <f>+T4+1</f>
        <v>2009</v>
      </c>
      <c r="V4" s="1287">
        <f>+U4+1</f>
        <v>2010</v>
      </c>
      <c r="W4" s="1287">
        <f>+V4+1</f>
        <v>2011</v>
      </c>
      <c r="X4" s="1287">
        <v>2012</v>
      </c>
      <c r="Y4" s="1351"/>
    </row>
    <row r="5" spans="1:25" ht="12.75" customHeight="1" x14ac:dyDescent="0.25">
      <c r="A5" s="394"/>
      <c r="B5" s="477"/>
      <c r="C5" s="397"/>
      <c r="D5" s="395"/>
      <c r="E5" s="396"/>
      <c r="F5" s="395"/>
      <c r="G5" s="396"/>
      <c r="H5" s="395"/>
      <c r="I5" s="396"/>
      <c r="J5" s="395"/>
      <c r="K5" s="396"/>
      <c r="L5" s="395"/>
      <c r="R5" s="1287" t="s">
        <v>1035</v>
      </c>
      <c r="S5" s="1287">
        <f>+B6</f>
        <v>519</v>
      </c>
      <c r="T5" s="1287">
        <f>+C6</f>
        <v>781</v>
      </c>
      <c r="U5" s="1287">
        <f>+E6</f>
        <v>819</v>
      </c>
      <c r="V5" s="1287">
        <f>+G6</f>
        <v>941</v>
      </c>
      <c r="W5" s="1287">
        <f>+I6</f>
        <v>793</v>
      </c>
      <c r="X5" s="1287">
        <f>+K6</f>
        <v>959</v>
      </c>
      <c r="Y5" s="1351"/>
    </row>
    <row r="6" spans="1:25" x14ac:dyDescent="0.25">
      <c r="A6" s="200" t="s">
        <v>1035</v>
      </c>
      <c r="B6" s="200">
        <v>519</v>
      </c>
      <c r="C6" s="201">
        <f>823-42</f>
        <v>781</v>
      </c>
      <c r="D6" s="202">
        <f>(C6-B6)/B6</f>
        <v>0.50481695568400775</v>
      </c>
      <c r="E6" s="201">
        <v>819</v>
      </c>
      <c r="F6" s="202">
        <f>(E6-C6)/C6</f>
        <v>4.8655569782330349E-2</v>
      </c>
      <c r="G6" s="201">
        <v>941</v>
      </c>
      <c r="H6" s="202">
        <f>(G6-E6)/E6</f>
        <v>0.14896214896214896</v>
      </c>
      <c r="I6" s="201">
        <v>793</v>
      </c>
      <c r="J6" s="202">
        <f>(I6-G6)/G6</f>
        <v>-0.15727948990435706</v>
      </c>
      <c r="K6" s="201">
        <v>959</v>
      </c>
      <c r="L6" s="202">
        <f>(K6-I6)/I6</f>
        <v>0.20933165195460277</v>
      </c>
      <c r="R6" s="1287" t="s">
        <v>1036</v>
      </c>
      <c r="S6" s="1287">
        <f>+B8</f>
        <v>500</v>
      </c>
      <c r="T6" s="1287">
        <f>+C8</f>
        <v>546</v>
      </c>
      <c r="U6" s="1287">
        <f>+E8</f>
        <v>586</v>
      </c>
      <c r="V6" s="1287">
        <f>+G8</f>
        <v>624</v>
      </c>
      <c r="W6" s="1287">
        <f>+I8</f>
        <v>717</v>
      </c>
      <c r="X6" s="1287">
        <f>+K8</f>
        <v>610</v>
      </c>
      <c r="Y6" s="1351"/>
    </row>
    <row r="7" spans="1:25" x14ac:dyDescent="0.25">
      <c r="A7" s="394"/>
      <c r="B7" s="477"/>
      <c r="C7" s="397"/>
      <c r="D7" s="395"/>
      <c r="E7" s="396"/>
      <c r="F7" s="395"/>
      <c r="G7" s="396"/>
      <c r="H7" s="395"/>
      <c r="I7" s="396"/>
      <c r="J7" s="395"/>
      <c r="K7" s="396"/>
      <c r="L7" s="395"/>
      <c r="R7" s="1287" t="s">
        <v>1037</v>
      </c>
      <c r="S7" s="1287">
        <f>+B10</f>
        <v>481</v>
      </c>
      <c r="T7" s="1287">
        <f>+C10</f>
        <v>478</v>
      </c>
      <c r="U7" s="1287">
        <f>+E10</f>
        <v>531</v>
      </c>
      <c r="V7" s="1287">
        <f>+G10</f>
        <v>552</v>
      </c>
      <c r="W7" s="1287">
        <f>+I10</f>
        <v>596</v>
      </c>
      <c r="X7" s="1287">
        <f>+K10</f>
        <v>607</v>
      </c>
      <c r="Y7" s="1351"/>
    </row>
    <row r="8" spans="1:25" x14ac:dyDescent="0.25">
      <c r="A8" s="200" t="s">
        <v>1036</v>
      </c>
      <c r="B8" s="200">
        <v>500</v>
      </c>
      <c r="C8" s="201">
        <v>546</v>
      </c>
      <c r="D8" s="202">
        <f>(C8-B8)/B8</f>
        <v>9.1999999999999998E-2</v>
      </c>
      <c r="E8" s="201">
        <v>586</v>
      </c>
      <c r="F8" s="202">
        <f>(E8-C8)/C8</f>
        <v>7.3260073260073263E-2</v>
      </c>
      <c r="G8" s="201">
        <v>624</v>
      </c>
      <c r="H8" s="202">
        <f>(G8-E8)/E8</f>
        <v>6.4846416382252553E-2</v>
      </c>
      <c r="I8" s="201">
        <v>717</v>
      </c>
      <c r="J8" s="202">
        <f>(I8-G8)/G8</f>
        <v>0.14903846153846154</v>
      </c>
      <c r="K8" s="201">
        <v>610</v>
      </c>
      <c r="L8" s="202">
        <f>(K8-I8)/I8</f>
        <v>-0.14923291492329149</v>
      </c>
      <c r="R8" s="1287" t="s">
        <v>1038</v>
      </c>
      <c r="S8" s="1287">
        <f>+B12</f>
        <v>795</v>
      </c>
      <c r="T8" s="1287">
        <f>+C12</f>
        <v>648</v>
      </c>
      <c r="U8" s="1287">
        <f>+E12</f>
        <v>787</v>
      </c>
      <c r="V8" s="1287">
        <f>+G12</f>
        <v>804</v>
      </c>
      <c r="W8" s="1287">
        <f>+I12</f>
        <v>821</v>
      </c>
      <c r="X8" s="1287">
        <f>+K12</f>
        <v>681</v>
      </c>
      <c r="Y8" s="1351"/>
    </row>
    <row r="9" spans="1:25" x14ac:dyDescent="0.25">
      <c r="A9" s="394"/>
      <c r="B9" s="477"/>
      <c r="C9" s="397"/>
      <c r="D9" s="395"/>
      <c r="E9" s="396"/>
      <c r="F9" s="395"/>
      <c r="G9" s="396"/>
      <c r="H9" s="395"/>
      <c r="I9" s="396"/>
      <c r="J9" s="395"/>
      <c r="K9" s="396"/>
      <c r="L9" s="395"/>
      <c r="R9" s="1287" t="s">
        <v>1039</v>
      </c>
      <c r="S9" s="1287">
        <f>+B14</f>
        <v>37</v>
      </c>
      <c r="T9" s="1287">
        <f>+C14</f>
        <v>40</v>
      </c>
      <c r="U9" s="1287">
        <f>+E14</f>
        <v>35</v>
      </c>
      <c r="V9" s="1287">
        <f>+G14</f>
        <v>32</v>
      </c>
      <c r="W9" s="1287">
        <f>+I14</f>
        <v>42</v>
      </c>
      <c r="X9" s="1287">
        <f>+K14</f>
        <v>47</v>
      </c>
      <c r="Y9" s="1351"/>
    </row>
    <row r="10" spans="1:25" x14ac:dyDescent="0.25">
      <c r="A10" s="200" t="s">
        <v>1037</v>
      </c>
      <c r="B10" s="200">
        <v>481</v>
      </c>
      <c r="C10" s="201">
        <v>478</v>
      </c>
      <c r="D10" s="202">
        <f>(C10-B10)/B10</f>
        <v>-6.2370062370062374E-3</v>
      </c>
      <c r="E10" s="201">
        <v>531</v>
      </c>
      <c r="F10" s="202">
        <f>(E10-C10)/C10</f>
        <v>0.11087866108786611</v>
      </c>
      <c r="G10" s="201">
        <v>552</v>
      </c>
      <c r="H10" s="202">
        <f>(G10-E10)/E10</f>
        <v>3.954802259887006E-2</v>
      </c>
      <c r="I10" s="201">
        <v>596</v>
      </c>
      <c r="J10" s="202">
        <f>(I10-G10)/G10</f>
        <v>7.9710144927536225E-2</v>
      </c>
      <c r="K10" s="201">
        <v>607</v>
      </c>
      <c r="L10" s="202">
        <f>(K10-I10)/I10</f>
        <v>1.8456375838926176E-2</v>
      </c>
      <c r="R10" s="1287" t="s">
        <v>1040</v>
      </c>
      <c r="S10" s="1287">
        <f>+B16</f>
        <v>29</v>
      </c>
      <c r="T10" s="1287">
        <f>+C16</f>
        <v>47</v>
      </c>
      <c r="U10" s="1287">
        <f>+E16</f>
        <v>31</v>
      </c>
      <c r="V10" s="1287">
        <f>+G16</f>
        <v>43</v>
      </c>
      <c r="W10" s="1287">
        <f>+I16</f>
        <v>70</v>
      </c>
      <c r="X10" s="1287">
        <f>+K16</f>
        <v>65</v>
      </c>
      <c r="Y10" s="1351"/>
    </row>
    <row r="11" spans="1:25" x14ac:dyDescent="0.25">
      <c r="A11" s="394"/>
      <c r="B11" s="477"/>
      <c r="C11" s="397"/>
      <c r="D11" s="395"/>
      <c r="E11" s="396"/>
      <c r="F11" s="395"/>
      <c r="G11" s="396"/>
      <c r="H11" s="395"/>
      <c r="I11" s="396"/>
      <c r="J11" s="395"/>
      <c r="K11" s="396"/>
      <c r="L11" s="395"/>
      <c r="R11" s="1287" t="s">
        <v>942</v>
      </c>
      <c r="S11" s="1287">
        <f>+B20</f>
        <v>20</v>
      </c>
      <c r="T11" s="1287">
        <f>+C20</f>
        <v>33</v>
      </c>
      <c r="U11" s="1287">
        <f>+E20</f>
        <v>32</v>
      </c>
      <c r="V11" s="1287">
        <f>+G20</f>
        <v>42</v>
      </c>
      <c r="W11" s="1287">
        <f>+I20</f>
        <v>15</v>
      </c>
      <c r="X11" s="1287">
        <f>+K20</f>
        <v>42</v>
      </c>
      <c r="Y11" s="1351"/>
    </row>
    <row r="12" spans="1:25" x14ac:dyDescent="0.25">
      <c r="A12" s="200" t="s">
        <v>1038</v>
      </c>
      <c r="B12" s="200">
        <v>795</v>
      </c>
      <c r="C12" s="201">
        <v>648</v>
      </c>
      <c r="D12" s="202">
        <f>(C12-B12)/B12</f>
        <v>-0.18490566037735848</v>
      </c>
      <c r="E12" s="201">
        <v>787</v>
      </c>
      <c r="F12" s="202">
        <f>(E12-C12)/C12</f>
        <v>0.21450617283950618</v>
      </c>
      <c r="G12" s="201">
        <v>804</v>
      </c>
      <c r="H12" s="202">
        <f>(G12-E12)/E12</f>
        <v>2.1601016518424398E-2</v>
      </c>
      <c r="I12" s="201">
        <v>821</v>
      </c>
      <c r="J12" s="202">
        <f>(I12-G12)/G12</f>
        <v>2.1144278606965175E-2</v>
      </c>
      <c r="K12" s="201">
        <v>681</v>
      </c>
      <c r="L12" s="202">
        <f>(K12-I12)/I12</f>
        <v>-0.17052375152253349</v>
      </c>
      <c r="R12" s="1287" t="s">
        <v>941</v>
      </c>
      <c r="S12" s="1287">
        <f>+B22</f>
        <v>27</v>
      </c>
      <c r="T12" s="1287">
        <f>+C22</f>
        <v>41</v>
      </c>
      <c r="U12" s="1287">
        <f>+E22</f>
        <v>17</v>
      </c>
      <c r="V12" s="1287">
        <f>+G22</f>
        <v>22</v>
      </c>
      <c r="W12" s="1287">
        <f>+I22</f>
        <v>15</v>
      </c>
      <c r="X12" s="1287">
        <f>+K22</f>
        <v>38</v>
      </c>
      <c r="Y12" s="1351"/>
    </row>
    <row r="13" spans="1:25" x14ac:dyDescent="0.25">
      <c r="A13" s="394"/>
      <c r="B13" s="477"/>
      <c r="C13" s="397"/>
      <c r="D13" s="395"/>
      <c r="E13" s="396"/>
      <c r="F13" s="395"/>
      <c r="G13" s="396"/>
      <c r="H13" s="395"/>
      <c r="I13" s="396"/>
      <c r="J13" s="395"/>
      <c r="K13" s="396"/>
      <c r="L13" s="395"/>
      <c r="R13" s="1287" t="s">
        <v>595</v>
      </c>
      <c r="S13" s="1287">
        <f t="shared" ref="S13:X13" si="0">SUM(S5:S12)</f>
        <v>2408</v>
      </c>
      <c r="T13" s="1287">
        <f t="shared" si="0"/>
        <v>2614</v>
      </c>
      <c r="U13" s="1287">
        <f t="shared" si="0"/>
        <v>2838</v>
      </c>
      <c r="V13" s="1287">
        <f t="shared" si="0"/>
        <v>3060</v>
      </c>
      <c r="W13" s="1287">
        <f t="shared" si="0"/>
        <v>3069</v>
      </c>
      <c r="X13" s="1287">
        <f t="shared" si="0"/>
        <v>3049</v>
      </c>
      <c r="Y13" s="1351"/>
    </row>
    <row r="14" spans="1:25" x14ac:dyDescent="0.25">
      <c r="A14" s="200" t="s">
        <v>1039</v>
      </c>
      <c r="B14" s="200">
        <v>37</v>
      </c>
      <c r="C14" s="201">
        <v>40</v>
      </c>
      <c r="D14" s="202">
        <f>(C14-B14)/B14</f>
        <v>8.1081081081081086E-2</v>
      </c>
      <c r="E14" s="201">
        <v>35</v>
      </c>
      <c r="F14" s="202">
        <f>(E14-C14)/C14</f>
        <v>-0.125</v>
      </c>
      <c r="G14" s="201">
        <v>32</v>
      </c>
      <c r="H14" s="202">
        <f>(G14-E14)/E14</f>
        <v>-8.5714285714285715E-2</v>
      </c>
      <c r="I14" s="201">
        <v>42</v>
      </c>
      <c r="J14" s="202">
        <f>(I14-G14)/G14</f>
        <v>0.3125</v>
      </c>
      <c r="K14" s="201">
        <v>47</v>
      </c>
      <c r="L14" s="202">
        <f>(K14-I14)/I14</f>
        <v>0.11904761904761904</v>
      </c>
      <c r="R14" s="1351"/>
      <c r="S14" s="1351"/>
      <c r="T14" s="1351"/>
      <c r="U14" s="1351"/>
      <c r="V14" s="1351"/>
      <c r="W14" s="1351"/>
      <c r="X14" s="1351"/>
      <c r="Y14" s="1351"/>
    </row>
    <row r="15" spans="1:25" x14ac:dyDescent="0.25">
      <c r="A15" s="394"/>
      <c r="B15" s="477"/>
      <c r="C15" s="397"/>
      <c r="D15" s="395"/>
      <c r="E15" s="396"/>
      <c r="F15" s="395"/>
      <c r="G15" s="396"/>
      <c r="H15" s="395"/>
      <c r="I15" s="396"/>
      <c r="J15" s="395"/>
      <c r="K15" s="396"/>
      <c r="L15" s="395"/>
      <c r="R15" s="1351"/>
      <c r="S15" s="1351"/>
      <c r="T15" s="1351"/>
      <c r="U15" s="1351"/>
      <c r="V15" s="1351"/>
      <c r="W15" s="1351"/>
      <c r="X15" s="1351"/>
      <c r="Y15" s="1351"/>
    </row>
    <row r="16" spans="1:25" x14ac:dyDescent="0.25">
      <c r="A16" s="200" t="s">
        <v>1040</v>
      </c>
      <c r="B16" s="200">
        <v>29</v>
      </c>
      <c r="C16" s="201">
        <v>47</v>
      </c>
      <c r="D16" s="202">
        <f>(C16-B16)/B16</f>
        <v>0.62068965517241381</v>
      </c>
      <c r="E16" s="201">
        <v>31</v>
      </c>
      <c r="F16" s="202">
        <f>(E16-C16)/C16</f>
        <v>-0.34042553191489361</v>
      </c>
      <c r="G16" s="201">
        <v>43</v>
      </c>
      <c r="H16" s="202">
        <f>(G16-E16)/E16</f>
        <v>0.38709677419354838</v>
      </c>
      <c r="I16" s="201">
        <v>70</v>
      </c>
      <c r="J16" s="202">
        <f>(I16-G16)/G16</f>
        <v>0.62790697674418605</v>
      </c>
      <c r="K16" s="201">
        <v>65</v>
      </c>
      <c r="L16" s="202">
        <f>(K16-I16)/I16</f>
        <v>-7.1428571428571425E-2</v>
      </c>
    </row>
    <row r="17" spans="1:12" x14ac:dyDescent="0.25">
      <c r="A17" s="394"/>
      <c r="B17" s="477"/>
      <c r="C17" s="397"/>
      <c r="D17" s="395"/>
      <c r="E17" s="396"/>
      <c r="F17" s="395"/>
      <c r="G17" s="396"/>
      <c r="H17" s="395"/>
      <c r="I17" s="396"/>
      <c r="J17" s="395"/>
      <c r="K17" s="396"/>
      <c r="L17" s="395"/>
    </row>
    <row r="18" spans="1:12" x14ac:dyDescent="0.25">
      <c r="A18" s="203" t="s">
        <v>1041</v>
      </c>
      <c r="B18" s="1222">
        <f>SUM(B6:B16)</f>
        <v>2361</v>
      </c>
      <c r="C18" s="390">
        <f>SUM(C6:C16)</f>
        <v>2540</v>
      </c>
      <c r="D18" s="391">
        <f>(C18-B18)/B18</f>
        <v>7.5815332486234649E-2</v>
      </c>
      <c r="E18" s="390">
        <f>SUM(E6:E16)</f>
        <v>2789</v>
      </c>
      <c r="F18" s="391">
        <f>(E18-C18)/C18</f>
        <v>9.8031496062992121E-2</v>
      </c>
      <c r="G18" s="390">
        <f>SUM(G6:G16)</f>
        <v>2996</v>
      </c>
      <c r="H18" s="391">
        <f>(G18-E18)/E18</f>
        <v>7.4220150591609899E-2</v>
      </c>
      <c r="I18" s="390">
        <f>SUM(I6:I16)</f>
        <v>3039</v>
      </c>
      <c r="J18" s="391">
        <f>(I18-G18)/G18</f>
        <v>1.4352469959946596E-2</v>
      </c>
      <c r="K18" s="390">
        <f>SUM(K6:K16)</f>
        <v>2969</v>
      </c>
      <c r="L18" s="391">
        <f>(K18-I18)/I18</f>
        <v>-2.303389272787101E-2</v>
      </c>
    </row>
    <row r="19" spans="1:12" x14ac:dyDescent="0.25">
      <c r="A19" s="394"/>
      <c r="B19" s="477"/>
      <c r="C19" s="397"/>
      <c r="D19" s="395"/>
      <c r="E19" s="396"/>
      <c r="F19" s="395"/>
      <c r="G19" s="396"/>
      <c r="H19" s="395"/>
      <c r="I19" s="396"/>
      <c r="J19" s="395"/>
      <c r="K19" s="396"/>
      <c r="L19" s="395"/>
    </row>
    <row r="20" spans="1:12" x14ac:dyDescent="0.25">
      <c r="A20" s="200" t="s">
        <v>942</v>
      </c>
      <c r="B20" s="200">
        <v>20</v>
      </c>
      <c r="C20" s="201">
        <v>33</v>
      </c>
      <c r="D20" s="202">
        <f>(C20-B20)/B20</f>
        <v>0.65</v>
      </c>
      <c r="E20" s="201">
        <v>32</v>
      </c>
      <c r="F20" s="202">
        <f>(E20-C20)/C20</f>
        <v>-3.0303030303030304E-2</v>
      </c>
      <c r="G20" s="201">
        <v>42</v>
      </c>
      <c r="H20" s="202">
        <f>(G20-E20)/E20</f>
        <v>0.3125</v>
      </c>
      <c r="I20" s="201">
        <v>15</v>
      </c>
      <c r="J20" s="202">
        <f>(I20-G20)/G20</f>
        <v>-0.6428571428571429</v>
      </c>
      <c r="K20" s="201">
        <v>42</v>
      </c>
      <c r="L20" s="202">
        <f>(K20-I20)/I20</f>
        <v>1.8</v>
      </c>
    </row>
    <row r="21" spans="1:12" x14ac:dyDescent="0.25">
      <c r="A21" s="394"/>
      <c r="B21" s="477"/>
      <c r="C21" s="397"/>
      <c r="D21" s="395"/>
      <c r="E21" s="396"/>
      <c r="F21" s="395"/>
      <c r="G21" s="396"/>
      <c r="H21" s="395"/>
      <c r="I21" s="396"/>
      <c r="J21" s="395"/>
      <c r="K21" s="396"/>
      <c r="L21" s="395"/>
    </row>
    <row r="22" spans="1:12" x14ac:dyDescent="0.25">
      <c r="A22" s="200" t="s">
        <v>941</v>
      </c>
      <c r="B22" s="200">
        <v>27</v>
      </c>
      <c r="C22" s="201">
        <v>41</v>
      </c>
      <c r="D22" s="202">
        <f>(C22-B22)/B22</f>
        <v>0.51851851851851849</v>
      </c>
      <c r="E22" s="201">
        <v>17</v>
      </c>
      <c r="F22" s="202">
        <f>(E22-C22)/C22</f>
        <v>-0.58536585365853655</v>
      </c>
      <c r="G22" s="201">
        <v>22</v>
      </c>
      <c r="H22" s="202">
        <f>(G22-E22)/E22</f>
        <v>0.29411764705882354</v>
      </c>
      <c r="I22" s="201">
        <v>15</v>
      </c>
      <c r="J22" s="202">
        <f>(I22-G22)/G22</f>
        <v>-0.31818181818181818</v>
      </c>
      <c r="K22" s="201">
        <v>38</v>
      </c>
      <c r="L22" s="202">
        <f>(K22-I22)/I22</f>
        <v>1.5333333333333334</v>
      </c>
    </row>
    <row r="23" spans="1:12" x14ac:dyDescent="0.25">
      <c r="A23" s="394"/>
      <c r="B23" s="477"/>
      <c r="C23" s="397"/>
      <c r="D23" s="395"/>
      <c r="E23" s="396"/>
      <c r="F23" s="395"/>
      <c r="G23" s="396"/>
      <c r="H23" s="395"/>
      <c r="I23" s="396"/>
      <c r="J23" s="395"/>
      <c r="K23" s="396"/>
      <c r="L23" s="395"/>
    </row>
    <row r="24" spans="1:12" x14ac:dyDescent="0.25">
      <c r="A24" s="204" t="s">
        <v>1042</v>
      </c>
      <c r="B24" s="1222">
        <f>B20+B22</f>
        <v>47</v>
      </c>
      <c r="C24" s="390">
        <f>C20+C22</f>
        <v>74</v>
      </c>
      <c r="D24" s="391">
        <f>(C24-B24)/B24</f>
        <v>0.57446808510638303</v>
      </c>
      <c r="E24" s="390">
        <f>E20+E22</f>
        <v>49</v>
      </c>
      <c r="F24" s="391">
        <f>(E24-C24)/C24</f>
        <v>-0.33783783783783783</v>
      </c>
      <c r="G24" s="390">
        <f>G20+G22</f>
        <v>64</v>
      </c>
      <c r="H24" s="391">
        <f>(G24-E24)/E24</f>
        <v>0.30612244897959184</v>
      </c>
      <c r="I24" s="390">
        <f>I20+I22</f>
        <v>30</v>
      </c>
      <c r="J24" s="391">
        <f>(I24-G24)/G24</f>
        <v>-0.53125</v>
      </c>
      <c r="K24" s="390">
        <f>K20+K22</f>
        <v>80</v>
      </c>
      <c r="L24" s="391">
        <f>(K24-I24)/I24</f>
        <v>1.6666666666666667</v>
      </c>
    </row>
    <row r="25" spans="1:12" x14ac:dyDescent="0.25">
      <c r="A25" s="394"/>
      <c r="B25" s="477"/>
      <c r="C25" s="397"/>
      <c r="D25" s="395"/>
      <c r="E25" s="396"/>
      <c r="F25" s="395"/>
      <c r="G25" s="396"/>
      <c r="H25" s="395"/>
      <c r="I25" s="396"/>
      <c r="J25" s="395"/>
      <c r="K25" s="396"/>
      <c r="L25" s="395"/>
    </row>
    <row r="26" spans="1:12" x14ac:dyDescent="0.25">
      <c r="A26" s="205" t="s">
        <v>949</v>
      </c>
      <c r="B26" s="1222">
        <f>B18+B24</f>
        <v>2408</v>
      </c>
      <c r="C26" s="390">
        <f>C18+C24</f>
        <v>2614</v>
      </c>
      <c r="D26" s="391">
        <f>(C26-B26)/B26</f>
        <v>8.5548172757475088E-2</v>
      </c>
      <c r="E26" s="390">
        <f>E18+E24</f>
        <v>2838</v>
      </c>
      <c r="F26" s="391">
        <f>(E26-C26)/C26</f>
        <v>8.5692425401683245E-2</v>
      </c>
      <c r="G26" s="390">
        <f>G18+G24</f>
        <v>3060</v>
      </c>
      <c r="H26" s="391">
        <f>(G26-E26)/E26</f>
        <v>7.8224101479915431E-2</v>
      </c>
      <c r="I26" s="390">
        <f>I18+I24</f>
        <v>3069</v>
      </c>
      <c r="J26" s="391">
        <f>(I26-G26)/G26</f>
        <v>2.9411764705882353E-3</v>
      </c>
      <c r="K26" s="390">
        <f>K18+K24</f>
        <v>3049</v>
      </c>
      <c r="L26" s="391">
        <f>(K26-I26)/I26</f>
        <v>-6.5167807103290974E-3</v>
      </c>
    </row>
    <row r="27" spans="1:12" x14ac:dyDescent="0.25">
      <c r="I27" s="374"/>
      <c r="K27" s="374"/>
    </row>
  </sheetData>
  <mergeCells count="6">
    <mergeCell ref="K3:L3"/>
    <mergeCell ref="A1:L1"/>
    <mergeCell ref="C3:D3"/>
    <mergeCell ref="E3:F3"/>
    <mergeCell ref="G3:H3"/>
    <mergeCell ref="I3:J3"/>
  </mergeCells>
  <phoneticPr fontId="15" type="noConversion"/>
  <printOptions horizontalCentered="1" verticalCentered="1"/>
  <pageMargins left="0.5" right="0.5" top="0.25" bottom="0.75" header="0.5" footer="0.5"/>
  <pageSetup scale="80" orientation="portrait" r:id="rId1"/>
  <headerFooter alignWithMargins="0">
    <oddFooter xml:space="preserve">&amp;LSource: Office of Institutional Research&amp;R
</oddFooter>
  </headerFooter>
  <drawing r:id="rId2"/>
  <webPublishItems count="1">
    <webPublishItem id="10191" divId="FINAL COPY 2000_2001 FACT BOOK_10191" sourceType="sheet" destinationFile="U:\My Documents\2004-2005 FACT BOOK\2004-2005 fact book WEB PAGES\04-05fallenrollmentbyclassandgraph.htm"/>
  </webPublishItem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pageSetUpPr fitToPage="1"/>
  </sheetPr>
  <dimension ref="A1:X28"/>
  <sheetViews>
    <sheetView workbookViewId="0">
      <selection sqref="A1:L1"/>
    </sheetView>
  </sheetViews>
  <sheetFormatPr defaultColWidth="6.6640625" defaultRowHeight="13.2" x14ac:dyDescent="0.25"/>
  <cols>
    <col min="1" max="1" width="18.6640625" style="191" customWidth="1"/>
    <col min="2" max="2" width="12.6640625" style="191" hidden="1" customWidth="1"/>
    <col min="3" max="3" width="12.6640625" style="191" customWidth="1"/>
    <col min="4" max="4" width="12.6640625" style="191" hidden="1" customWidth="1"/>
    <col min="5" max="16" width="12.6640625" style="191" customWidth="1"/>
    <col min="17" max="17" width="6.6640625" style="191" customWidth="1"/>
    <col min="18" max="18" width="19.44140625" style="191" bestFit="1" customWidth="1"/>
    <col min="19" max="19" width="0" style="191" hidden="1" customWidth="1"/>
    <col min="20" max="16384" width="6.6640625" style="191"/>
  </cols>
  <sheetData>
    <row r="1" spans="1:24" ht="39" customHeight="1" x14ac:dyDescent="0.35">
      <c r="A1" s="1753" t="s">
        <v>1043</v>
      </c>
      <c r="B1" s="1753"/>
      <c r="C1" s="1753"/>
      <c r="D1" s="1753"/>
      <c r="E1" s="1753"/>
      <c r="F1" s="1753"/>
      <c r="G1" s="1753"/>
      <c r="H1" s="1753"/>
      <c r="I1" s="1753"/>
      <c r="J1" s="1753"/>
      <c r="K1" s="1753"/>
      <c r="L1" s="1753"/>
    </row>
    <row r="2" spans="1:24" ht="12.75" customHeight="1" x14ac:dyDescent="0.35">
      <c r="A2" s="206"/>
      <c r="B2" s="207"/>
      <c r="C2" s="207"/>
      <c r="D2" s="207"/>
      <c r="E2" s="207"/>
      <c r="F2" s="207"/>
      <c r="G2" s="207"/>
      <c r="H2" s="207"/>
      <c r="I2" s="207"/>
      <c r="J2" s="207"/>
      <c r="R2" s="1287" t="s">
        <v>1313</v>
      </c>
      <c r="S2" s="1287"/>
      <c r="T2" s="1287"/>
      <c r="U2" s="1287"/>
      <c r="V2" s="1287"/>
      <c r="W2" s="1287"/>
    </row>
    <row r="3" spans="1:24" x14ac:dyDescent="0.25">
      <c r="A3" s="196"/>
      <c r="B3" s="503">
        <v>2008</v>
      </c>
      <c r="C3" s="1751">
        <f>+B3+1</f>
        <v>2009</v>
      </c>
      <c r="D3" s="1752"/>
      <c r="E3" s="1751">
        <f>+C3+1</f>
        <v>2010</v>
      </c>
      <c r="F3" s="1752"/>
      <c r="G3" s="1751">
        <f>+E3+1</f>
        <v>2011</v>
      </c>
      <c r="H3" s="1752"/>
      <c r="I3" s="1751">
        <f>+G3+1</f>
        <v>2012</v>
      </c>
      <c r="J3" s="1754"/>
      <c r="K3" s="1751">
        <f>+I3+1</f>
        <v>2013</v>
      </c>
      <c r="L3" s="1754"/>
      <c r="P3" s="1399"/>
      <c r="Q3" s="1399"/>
      <c r="R3" s="1399"/>
      <c r="S3" s="1399"/>
      <c r="T3" s="1399"/>
      <c r="U3" s="1399"/>
      <c r="V3" s="1399"/>
      <c r="W3" s="1399"/>
      <c r="X3" s="1399"/>
    </row>
    <row r="4" spans="1:24" ht="30" customHeight="1" x14ac:dyDescent="0.25">
      <c r="A4" s="197" t="s">
        <v>1312</v>
      </c>
      <c r="B4" s="476" t="s">
        <v>1033</v>
      </c>
      <c r="C4" s="198" t="s">
        <v>1033</v>
      </c>
      <c r="D4" s="199" t="s">
        <v>1034</v>
      </c>
      <c r="E4" s="198" t="s">
        <v>1033</v>
      </c>
      <c r="F4" s="199" t="s">
        <v>1034</v>
      </c>
      <c r="G4" s="198" t="s">
        <v>1033</v>
      </c>
      <c r="H4" s="199" t="s">
        <v>1034</v>
      </c>
      <c r="I4" s="198" t="s">
        <v>1033</v>
      </c>
      <c r="J4" s="199" t="s">
        <v>1034</v>
      </c>
      <c r="K4" s="198" t="s">
        <v>1033</v>
      </c>
      <c r="L4" s="199" t="s">
        <v>1034</v>
      </c>
      <c r="P4" s="1399"/>
      <c r="Q4" s="1399"/>
      <c r="R4" s="1287"/>
      <c r="S4" s="1287">
        <v>2008</v>
      </c>
      <c r="T4" s="1287">
        <f>+S4+1</f>
        <v>2009</v>
      </c>
      <c r="U4" s="1287">
        <f>+T4+1</f>
        <v>2010</v>
      </c>
      <c r="V4" s="1287">
        <f>+U4+1</f>
        <v>2011</v>
      </c>
      <c r="W4" s="1287">
        <f>+V4+1</f>
        <v>2012</v>
      </c>
      <c r="X4" s="1287">
        <f>+W4+1</f>
        <v>2013</v>
      </c>
    </row>
    <row r="5" spans="1:24" x14ac:dyDescent="0.25">
      <c r="A5" s="394"/>
      <c r="B5" s="477"/>
      <c r="C5" s="477"/>
      <c r="D5" s="395"/>
      <c r="E5" s="396"/>
      <c r="F5" s="395"/>
      <c r="G5" s="396"/>
      <c r="H5" s="395"/>
      <c r="I5" s="396"/>
      <c r="J5" s="395"/>
      <c r="K5" s="396"/>
      <c r="L5" s="395"/>
      <c r="P5" s="1399"/>
      <c r="Q5" s="1399"/>
      <c r="R5" s="1287" t="s">
        <v>1035</v>
      </c>
      <c r="S5" s="1287">
        <f>+B6</f>
        <v>266</v>
      </c>
      <c r="T5" s="1287">
        <f>+C6</f>
        <v>619</v>
      </c>
      <c r="U5" s="1287">
        <f>+E6</f>
        <v>471</v>
      </c>
      <c r="V5" s="1287">
        <f>+G6</f>
        <v>505</v>
      </c>
      <c r="W5" s="1287">
        <f>+I6</f>
        <v>459</v>
      </c>
      <c r="X5" s="1287">
        <f>+K6</f>
        <v>677</v>
      </c>
    </row>
    <row r="6" spans="1:24" x14ac:dyDescent="0.25">
      <c r="A6" s="200" t="s">
        <v>1035</v>
      </c>
      <c r="B6" s="200">
        <v>266</v>
      </c>
      <c r="C6" s="200">
        <v>619</v>
      </c>
      <c r="D6" s="202">
        <f>(C6-B6)/B6</f>
        <v>1.3270676691729324</v>
      </c>
      <c r="E6" s="201">
        <v>471</v>
      </c>
      <c r="F6" s="202">
        <f>(E6-C6)/C6</f>
        <v>-0.23909531502423265</v>
      </c>
      <c r="G6" s="201">
        <v>505</v>
      </c>
      <c r="H6" s="202">
        <f>(G6-E6)/E6</f>
        <v>7.2186836518046707E-2</v>
      </c>
      <c r="I6" s="201">
        <v>459</v>
      </c>
      <c r="J6" s="202">
        <f>(I6-G6)/G6</f>
        <v>-9.1089108910891087E-2</v>
      </c>
      <c r="K6" s="201">
        <v>677</v>
      </c>
      <c r="L6" s="202">
        <f>(K6-I6)/I6</f>
        <v>0.47494553376906318</v>
      </c>
      <c r="P6" s="1399"/>
      <c r="Q6" s="1399"/>
      <c r="R6" s="1287" t="s">
        <v>1036</v>
      </c>
      <c r="S6" s="1287">
        <f>+B8</f>
        <v>519</v>
      </c>
      <c r="T6" s="1287">
        <f>+C8</f>
        <v>474</v>
      </c>
      <c r="U6" s="1287">
        <f>+E7+E8</f>
        <v>633</v>
      </c>
      <c r="V6" s="1287">
        <f>+G8</f>
        <v>717</v>
      </c>
      <c r="W6" s="1287">
        <f>+I8</f>
        <v>660</v>
      </c>
      <c r="X6" s="1287">
        <f>+K8</f>
        <v>605</v>
      </c>
    </row>
    <row r="7" spans="1:24" x14ac:dyDescent="0.25">
      <c r="A7" s="394"/>
      <c r="B7" s="477"/>
      <c r="C7" s="477"/>
      <c r="D7" s="395"/>
      <c r="E7" s="396"/>
      <c r="F7" s="395"/>
      <c r="G7" s="396"/>
      <c r="H7" s="395"/>
      <c r="I7" s="396"/>
      <c r="J7" s="395"/>
      <c r="K7" s="396"/>
      <c r="L7" s="395"/>
      <c r="P7" s="1399"/>
      <c r="Q7" s="1399"/>
      <c r="R7" s="1287" t="s">
        <v>1037</v>
      </c>
      <c r="S7" s="1287">
        <f>+B10</f>
        <v>482</v>
      </c>
      <c r="T7" s="1287">
        <f>+C10</f>
        <v>536</v>
      </c>
      <c r="U7" s="1287">
        <f>+E10</f>
        <v>519</v>
      </c>
      <c r="V7" s="1287">
        <f>+G10</f>
        <v>562</v>
      </c>
      <c r="W7" s="1287">
        <f>+I10</f>
        <v>618</v>
      </c>
      <c r="X7" s="1287">
        <f>+K10</f>
        <v>609</v>
      </c>
    </row>
    <row r="8" spans="1:24" x14ac:dyDescent="0.25">
      <c r="A8" s="200" t="s">
        <v>1036</v>
      </c>
      <c r="B8" s="200">
        <v>519</v>
      </c>
      <c r="C8" s="200">
        <v>474</v>
      </c>
      <c r="D8" s="202">
        <f>(C8-B8)/B8</f>
        <v>-8.6705202312138727E-2</v>
      </c>
      <c r="E8" s="201">
        <v>633</v>
      </c>
      <c r="F8" s="202">
        <f>(E8-C8)/C8</f>
        <v>0.33544303797468356</v>
      </c>
      <c r="G8" s="201">
        <v>717</v>
      </c>
      <c r="H8" s="202">
        <f>(G8-E8)/E8</f>
        <v>0.13270142180094788</v>
      </c>
      <c r="I8" s="201">
        <v>660</v>
      </c>
      <c r="J8" s="202">
        <f>(I8-G8)/G8</f>
        <v>-7.9497907949790794E-2</v>
      </c>
      <c r="K8" s="201">
        <v>605</v>
      </c>
      <c r="L8" s="202">
        <f>(K8-I8)/I8</f>
        <v>-8.3333333333333329E-2</v>
      </c>
      <c r="P8" s="1399"/>
      <c r="Q8" s="1399"/>
      <c r="R8" s="1287" t="s">
        <v>1038</v>
      </c>
      <c r="S8" s="1287">
        <f>+B12</f>
        <v>877</v>
      </c>
      <c r="T8" s="1287">
        <f>+C12</f>
        <v>663</v>
      </c>
      <c r="U8" s="1287">
        <f>+E12</f>
        <v>904</v>
      </c>
      <c r="V8" s="1287">
        <f>+G12</f>
        <v>906</v>
      </c>
      <c r="W8" s="1287">
        <f>+I12</f>
        <v>963</v>
      </c>
      <c r="X8" s="1287">
        <f>+K12</f>
        <v>730</v>
      </c>
    </row>
    <row r="9" spans="1:24" x14ac:dyDescent="0.25">
      <c r="A9" s="394"/>
      <c r="B9" s="477"/>
      <c r="C9" s="477"/>
      <c r="D9" s="395"/>
      <c r="E9" s="396"/>
      <c r="F9" s="395"/>
      <c r="G9" s="396"/>
      <c r="H9" s="395"/>
      <c r="I9" s="396"/>
      <c r="J9" s="395"/>
      <c r="K9" s="396"/>
      <c r="L9" s="395"/>
      <c r="P9" s="1399"/>
      <c r="Q9" s="1399"/>
      <c r="R9" s="1287" t="s">
        <v>1039</v>
      </c>
      <c r="S9" s="1287">
        <f>+B14</f>
        <v>41</v>
      </c>
      <c r="T9" s="1287">
        <f>+C14</f>
        <v>42</v>
      </c>
      <c r="U9" s="1287">
        <f>+E14</f>
        <v>34</v>
      </c>
      <c r="V9" s="1287">
        <f>+G14</f>
        <v>38</v>
      </c>
      <c r="W9" s="1287">
        <f>+I14</f>
        <v>40</v>
      </c>
      <c r="X9" s="1287">
        <f>+K14</f>
        <v>44</v>
      </c>
    </row>
    <row r="10" spans="1:24" x14ac:dyDescent="0.25">
      <c r="A10" s="200" t="s">
        <v>1037</v>
      </c>
      <c r="B10" s="200">
        <v>482</v>
      </c>
      <c r="C10" s="200">
        <v>536</v>
      </c>
      <c r="D10" s="202">
        <f>(C10-B10)/B10</f>
        <v>0.11203319502074689</v>
      </c>
      <c r="E10" s="201">
        <v>519</v>
      </c>
      <c r="F10" s="202">
        <f>(E10-C10)/C10</f>
        <v>-3.1716417910447763E-2</v>
      </c>
      <c r="G10" s="201">
        <v>562</v>
      </c>
      <c r="H10" s="202">
        <f>(G10-E10)/E10</f>
        <v>8.2851637764932567E-2</v>
      </c>
      <c r="I10" s="201">
        <v>618</v>
      </c>
      <c r="J10" s="202">
        <f>(I10-G10)/G10</f>
        <v>9.9644128113879002E-2</v>
      </c>
      <c r="K10" s="201">
        <v>609</v>
      </c>
      <c r="L10" s="202">
        <f>(K10-I10)/I10</f>
        <v>-1.4563106796116505E-2</v>
      </c>
      <c r="P10" s="1399"/>
      <c r="Q10" s="1399"/>
      <c r="R10" s="1287" t="s">
        <v>1040</v>
      </c>
      <c r="S10" s="1287">
        <f>+B16</f>
        <v>44</v>
      </c>
      <c r="T10" s="1287">
        <f>+C16</f>
        <v>48</v>
      </c>
      <c r="U10" s="1287">
        <f>+E16</f>
        <v>60</v>
      </c>
      <c r="V10" s="1287">
        <f>+G16</f>
        <v>24</v>
      </c>
      <c r="W10" s="1287">
        <f>+I16</f>
        <v>24</v>
      </c>
      <c r="X10" s="1287">
        <f>+K16</f>
        <v>20</v>
      </c>
    </row>
    <row r="11" spans="1:24" x14ac:dyDescent="0.25">
      <c r="A11" s="394"/>
      <c r="B11" s="477"/>
      <c r="C11" s="477"/>
      <c r="D11" s="395"/>
      <c r="E11" s="396"/>
      <c r="F11" s="395"/>
      <c r="G11" s="396"/>
      <c r="H11" s="395"/>
      <c r="I11" s="396"/>
      <c r="J11" s="395"/>
      <c r="K11" s="396"/>
      <c r="L11" s="395"/>
      <c r="P11" s="1399"/>
      <c r="Q11" s="1399"/>
      <c r="R11" s="1287" t="s">
        <v>942</v>
      </c>
      <c r="S11" s="1287">
        <f>+B20</f>
        <v>49</v>
      </c>
      <c r="T11" s="1287">
        <f>+C20</f>
        <v>57</v>
      </c>
      <c r="U11" s="1287">
        <f>+E20</f>
        <v>50</v>
      </c>
      <c r="V11" s="1287">
        <f>+G20</f>
        <v>69</v>
      </c>
      <c r="W11" s="1287">
        <f>+I20</f>
        <v>61</v>
      </c>
      <c r="X11" s="1287">
        <f>+K20</f>
        <v>44</v>
      </c>
    </row>
    <row r="12" spans="1:24" x14ac:dyDescent="0.25">
      <c r="A12" s="200" t="s">
        <v>1038</v>
      </c>
      <c r="B12" s="200">
        <v>877</v>
      </c>
      <c r="C12" s="200">
        <v>663</v>
      </c>
      <c r="D12" s="202">
        <f>(C12-B12)/B12</f>
        <v>-0.24401368301026224</v>
      </c>
      <c r="E12" s="201">
        <v>904</v>
      </c>
      <c r="F12" s="202">
        <f>(E12-C12)/C12</f>
        <v>0.36349924585218701</v>
      </c>
      <c r="G12" s="201">
        <v>906</v>
      </c>
      <c r="H12" s="202">
        <f>(G12-E12)/E12</f>
        <v>2.2123893805309734E-3</v>
      </c>
      <c r="I12" s="201">
        <v>963</v>
      </c>
      <c r="J12" s="202">
        <f>(I12-G12)/G12</f>
        <v>6.2913907284768214E-2</v>
      </c>
      <c r="K12" s="201">
        <v>730</v>
      </c>
      <c r="L12" s="202">
        <f>(K12-I12)/I12</f>
        <v>-0.24195223260643822</v>
      </c>
      <c r="P12" s="1399"/>
      <c r="Q12" s="1399"/>
      <c r="R12" s="1287" t="s">
        <v>941</v>
      </c>
      <c r="S12" s="1287">
        <f>+B22</f>
        <v>26</v>
      </c>
      <c r="T12" s="1287">
        <f>+C22</f>
        <v>37</v>
      </c>
      <c r="U12" s="1287">
        <f>+E22</f>
        <v>20</v>
      </c>
      <c r="V12" s="1287">
        <f>+G22</f>
        <v>25</v>
      </c>
      <c r="W12" s="1287">
        <f>+I22</f>
        <v>24</v>
      </c>
      <c r="X12" s="1287">
        <f>+K22</f>
        <v>51</v>
      </c>
    </row>
    <row r="13" spans="1:24" x14ac:dyDescent="0.25">
      <c r="A13" s="394"/>
      <c r="B13" s="477"/>
      <c r="C13" s="477"/>
      <c r="D13" s="395"/>
      <c r="E13" s="396"/>
      <c r="F13" s="395"/>
      <c r="G13" s="396"/>
      <c r="H13" s="395"/>
      <c r="I13" s="396"/>
      <c r="J13" s="395"/>
      <c r="K13" s="396"/>
      <c r="L13" s="395"/>
      <c r="P13" s="1399"/>
      <c r="Q13" s="1399"/>
      <c r="R13" s="1287" t="s">
        <v>833</v>
      </c>
      <c r="S13" s="1287">
        <f t="shared" ref="S13:X13" si="0">SUM(S5:S12)</f>
        <v>2304</v>
      </c>
      <c r="T13" s="1287">
        <f t="shared" si="0"/>
        <v>2476</v>
      </c>
      <c r="U13" s="1287">
        <f t="shared" si="0"/>
        <v>2691</v>
      </c>
      <c r="V13" s="1287">
        <f t="shared" si="0"/>
        <v>2846</v>
      </c>
      <c r="W13" s="1287">
        <f t="shared" si="0"/>
        <v>2849</v>
      </c>
      <c r="X13" s="1287">
        <f t="shared" si="0"/>
        <v>2780</v>
      </c>
    </row>
    <row r="14" spans="1:24" x14ac:dyDescent="0.25">
      <c r="A14" s="200" t="s">
        <v>1039</v>
      </c>
      <c r="B14" s="200">
        <v>41</v>
      </c>
      <c r="C14" s="200">
        <v>42</v>
      </c>
      <c r="D14" s="202">
        <f>(C14-B14)/B14</f>
        <v>2.4390243902439025E-2</v>
      </c>
      <c r="E14" s="201">
        <v>34</v>
      </c>
      <c r="F14" s="202">
        <f>(E14-C14)/C14</f>
        <v>-0.19047619047619047</v>
      </c>
      <c r="G14" s="201">
        <v>38</v>
      </c>
      <c r="H14" s="202">
        <f>(G14-E14)/E14</f>
        <v>0.11764705882352941</v>
      </c>
      <c r="I14" s="201">
        <v>40</v>
      </c>
      <c r="J14" s="202">
        <f>(I14-G14)/G14</f>
        <v>5.2631578947368418E-2</v>
      </c>
      <c r="K14" s="201">
        <v>44</v>
      </c>
      <c r="L14" s="202">
        <f>(K14-I14)/I14</f>
        <v>0.1</v>
      </c>
      <c r="P14" s="1399"/>
      <c r="Q14" s="1399"/>
      <c r="R14" s="1399"/>
      <c r="S14" s="1399"/>
      <c r="T14" s="1399"/>
      <c r="U14" s="1399"/>
      <c r="V14" s="1399"/>
      <c r="W14" s="1399"/>
      <c r="X14" s="1399"/>
    </row>
    <row r="15" spans="1:24" x14ac:dyDescent="0.25">
      <c r="A15" s="394"/>
      <c r="B15" s="477"/>
      <c r="C15" s="477"/>
      <c r="D15" s="395"/>
      <c r="E15" s="396"/>
      <c r="F15" s="395"/>
      <c r="G15" s="396"/>
      <c r="H15" s="395"/>
      <c r="I15" s="396"/>
      <c r="J15" s="395"/>
      <c r="K15" s="396"/>
      <c r="L15" s="395"/>
      <c r="P15" s="1399"/>
      <c r="Q15" s="1399"/>
      <c r="R15" s="1399"/>
      <c r="S15" s="1399"/>
      <c r="T15" s="1399"/>
      <c r="U15" s="1399"/>
      <c r="V15" s="1399"/>
      <c r="W15" s="1399"/>
      <c r="X15" s="1399"/>
    </row>
    <row r="16" spans="1:24" x14ac:dyDescent="0.25">
      <c r="A16" s="200" t="s">
        <v>1040</v>
      </c>
      <c r="B16" s="200">
        <v>44</v>
      </c>
      <c r="C16" s="200">
        <v>48</v>
      </c>
      <c r="D16" s="202">
        <f>(C16-B16)/B16</f>
        <v>9.0909090909090912E-2</v>
      </c>
      <c r="E16" s="201">
        <v>60</v>
      </c>
      <c r="F16" s="202">
        <f>(E16-C16)/C16</f>
        <v>0.25</v>
      </c>
      <c r="G16" s="201">
        <v>24</v>
      </c>
      <c r="H16" s="202">
        <f>(G16-E16)/E16</f>
        <v>-0.6</v>
      </c>
      <c r="I16" s="201">
        <v>24</v>
      </c>
      <c r="J16" s="202">
        <f>(I16-G16)/G16</f>
        <v>0</v>
      </c>
      <c r="K16" s="201">
        <v>20</v>
      </c>
      <c r="L16" s="202">
        <f>(K16-I16)/I16</f>
        <v>-0.16666666666666666</v>
      </c>
      <c r="P16" s="1399"/>
      <c r="Q16" s="1399"/>
      <c r="R16" s="1399"/>
      <c r="S16" s="1399"/>
      <c r="T16" s="1399"/>
      <c r="U16" s="1399"/>
      <c r="V16" s="1399"/>
      <c r="W16" s="1399"/>
      <c r="X16" s="1399"/>
    </row>
    <row r="17" spans="1:24" x14ac:dyDescent="0.25">
      <c r="A17" s="394"/>
      <c r="B17" s="477"/>
      <c r="C17" s="477"/>
      <c r="D17" s="395"/>
      <c r="E17" s="396"/>
      <c r="F17" s="395"/>
      <c r="G17" s="396"/>
      <c r="H17" s="395"/>
      <c r="I17" s="396"/>
      <c r="J17" s="395"/>
      <c r="K17" s="396"/>
      <c r="L17" s="395"/>
      <c r="P17" s="1399"/>
      <c r="Q17" s="1399"/>
      <c r="R17" s="1399"/>
      <c r="S17" s="1399"/>
      <c r="T17" s="1399"/>
      <c r="U17" s="1399"/>
      <c r="V17" s="1399"/>
      <c r="W17" s="1399"/>
      <c r="X17" s="1399"/>
    </row>
    <row r="18" spans="1:24" x14ac:dyDescent="0.25">
      <c r="A18" s="203" t="s">
        <v>1041</v>
      </c>
      <c r="B18" s="1222">
        <f>SUM(B6:B16)</f>
        <v>2229</v>
      </c>
      <c r="C18" s="1222">
        <f>SUM(C6:C16)</f>
        <v>2382</v>
      </c>
      <c r="D18" s="391">
        <f>(C18-B18)/B18</f>
        <v>6.8640646029609689E-2</v>
      </c>
      <c r="E18" s="390">
        <f>SUM(E6:E16)</f>
        <v>2621</v>
      </c>
      <c r="F18" s="391">
        <f>(E18-C18)/C18</f>
        <v>0.10033585222502099</v>
      </c>
      <c r="G18" s="390">
        <f>SUM(G6:G16)</f>
        <v>2752</v>
      </c>
      <c r="H18" s="391">
        <f>(G18-E18)/E18</f>
        <v>4.9980923311713089E-2</v>
      </c>
      <c r="I18" s="390">
        <f>SUM(I6:I16)</f>
        <v>2764</v>
      </c>
      <c r="J18" s="391">
        <f>(I18-G18)/G18</f>
        <v>4.3604651162790697E-3</v>
      </c>
      <c r="K18" s="390">
        <f>SUM(K6:K16)</f>
        <v>2685</v>
      </c>
      <c r="L18" s="391">
        <f>(K18-I18)/I18</f>
        <v>-2.8581765557163533E-2</v>
      </c>
    </row>
    <row r="19" spans="1:24" x14ac:dyDescent="0.25">
      <c r="A19" s="394"/>
      <c r="B19" s="477"/>
      <c r="C19" s="477"/>
      <c r="D19" s="395"/>
      <c r="E19" s="396"/>
      <c r="F19" s="395"/>
      <c r="G19" s="396"/>
      <c r="H19" s="395"/>
      <c r="I19" s="396"/>
      <c r="J19" s="395"/>
      <c r="K19" s="396"/>
      <c r="L19" s="395"/>
    </row>
    <row r="20" spans="1:24" x14ac:dyDescent="0.25">
      <c r="A20" s="200" t="s">
        <v>942</v>
      </c>
      <c r="B20" s="200">
        <v>49</v>
      </c>
      <c r="C20" s="200">
        <v>57</v>
      </c>
      <c r="D20" s="202">
        <f>(C20-B20)/B20</f>
        <v>0.16326530612244897</v>
      </c>
      <c r="E20" s="201">
        <v>50</v>
      </c>
      <c r="F20" s="202">
        <f>(E20-C20)/C20</f>
        <v>-0.12280701754385964</v>
      </c>
      <c r="G20" s="201">
        <v>69</v>
      </c>
      <c r="H20" s="202">
        <f>(G20-E20)/E20</f>
        <v>0.38</v>
      </c>
      <c r="I20" s="201">
        <v>61</v>
      </c>
      <c r="J20" s="202">
        <f>(I20-G20)/G20</f>
        <v>-0.11594202898550725</v>
      </c>
      <c r="K20" s="201">
        <v>44</v>
      </c>
      <c r="L20" s="202">
        <f>(K20-I20)/I20</f>
        <v>-0.27868852459016391</v>
      </c>
    </row>
    <row r="21" spans="1:24" x14ac:dyDescent="0.25">
      <c r="A21" s="394"/>
      <c r="B21" s="477"/>
      <c r="C21" s="477"/>
      <c r="D21" s="395"/>
      <c r="E21" s="396"/>
      <c r="F21" s="395"/>
      <c r="G21" s="396"/>
      <c r="H21" s="395"/>
      <c r="I21" s="396"/>
      <c r="J21" s="395"/>
      <c r="K21" s="396"/>
      <c r="L21" s="395"/>
    </row>
    <row r="22" spans="1:24" x14ac:dyDescent="0.25">
      <c r="A22" s="200" t="s">
        <v>941</v>
      </c>
      <c r="B22" s="200">
        <v>26</v>
      </c>
      <c r="C22" s="200">
        <v>37</v>
      </c>
      <c r="D22" s="202">
        <f>(C22-B22)/B22</f>
        <v>0.42307692307692307</v>
      </c>
      <c r="E22" s="201">
        <v>20</v>
      </c>
      <c r="F22" s="202">
        <f>(E22-C22)/C22</f>
        <v>-0.45945945945945948</v>
      </c>
      <c r="G22" s="201">
        <v>25</v>
      </c>
      <c r="H22" s="202">
        <f>(G22-E22)/E22</f>
        <v>0.25</v>
      </c>
      <c r="I22" s="201">
        <v>24</v>
      </c>
      <c r="J22" s="202">
        <f>(I22-G22)/G22</f>
        <v>-0.04</v>
      </c>
      <c r="K22" s="201">
        <v>51</v>
      </c>
      <c r="L22" s="202">
        <f>(K22-I22)/I22</f>
        <v>1.125</v>
      </c>
    </row>
    <row r="23" spans="1:24" x14ac:dyDescent="0.25">
      <c r="A23" s="394"/>
      <c r="B23" s="477"/>
      <c r="C23" s="477"/>
      <c r="D23" s="395"/>
      <c r="E23" s="396"/>
      <c r="F23" s="395"/>
      <c r="G23" s="396"/>
      <c r="H23" s="395"/>
      <c r="I23" s="396"/>
      <c r="J23" s="395"/>
      <c r="K23" s="396"/>
      <c r="L23" s="395"/>
    </row>
    <row r="24" spans="1:24" x14ac:dyDescent="0.25">
      <c r="A24" s="204" t="s">
        <v>1042</v>
      </c>
      <c r="B24" s="1222">
        <f>B20+B22</f>
        <v>75</v>
      </c>
      <c r="C24" s="1222">
        <f>C20+C22</f>
        <v>94</v>
      </c>
      <c r="D24" s="391">
        <f>(C24-B24)/B24</f>
        <v>0.25333333333333335</v>
      </c>
      <c r="E24" s="390">
        <f>E20+E22</f>
        <v>70</v>
      </c>
      <c r="F24" s="391">
        <f>(E24-C24)/C24</f>
        <v>-0.25531914893617019</v>
      </c>
      <c r="G24" s="390">
        <f>G20+G22</f>
        <v>94</v>
      </c>
      <c r="H24" s="391">
        <f>(G24-E24)/E24</f>
        <v>0.34285714285714286</v>
      </c>
      <c r="I24" s="390">
        <f>I20+I22</f>
        <v>85</v>
      </c>
      <c r="J24" s="391">
        <f>(I24-G24)/G24</f>
        <v>-9.5744680851063829E-2</v>
      </c>
      <c r="K24" s="390">
        <f>K20+K22</f>
        <v>95</v>
      </c>
      <c r="L24" s="391">
        <f>(K24-I24)/I24</f>
        <v>0.11764705882352941</v>
      </c>
    </row>
    <row r="25" spans="1:24" x14ac:dyDescent="0.25">
      <c r="A25" s="394"/>
      <c r="B25" s="477"/>
      <c r="C25" s="477"/>
      <c r="D25" s="395"/>
      <c r="E25" s="396"/>
      <c r="F25" s="395"/>
      <c r="G25" s="396"/>
      <c r="H25" s="395"/>
      <c r="I25" s="396"/>
      <c r="J25" s="395"/>
      <c r="K25" s="396"/>
      <c r="L25" s="395"/>
    </row>
    <row r="26" spans="1:24" x14ac:dyDescent="0.25">
      <c r="A26" s="205" t="s">
        <v>949</v>
      </c>
      <c r="B26" s="1222">
        <f>B18+B24</f>
        <v>2304</v>
      </c>
      <c r="C26" s="1222">
        <f>C18+C24</f>
        <v>2476</v>
      </c>
      <c r="D26" s="391">
        <f>(C26-B26)/B26</f>
        <v>7.4652777777777776E-2</v>
      </c>
      <c r="E26" s="390">
        <f>E18+E24</f>
        <v>2691</v>
      </c>
      <c r="F26" s="391">
        <f>(E26-C26)/C26</f>
        <v>8.6833602584814221E-2</v>
      </c>
      <c r="G26" s="390">
        <f>G18+G24</f>
        <v>2846</v>
      </c>
      <c r="H26" s="391">
        <f>(G26-E26)/E26</f>
        <v>5.7599405425492384E-2</v>
      </c>
      <c r="I26" s="390">
        <f>I18+I24</f>
        <v>2849</v>
      </c>
      <c r="J26" s="391">
        <f>(I26-G26)/G26</f>
        <v>1.0541110330288123E-3</v>
      </c>
      <c r="K26" s="390">
        <f>K18+K24</f>
        <v>2780</v>
      </c>
      <c r="L26" s="391">
        <f>(K26-I26)/I26</f>
        <v>-2.4219024219024218E-2</v>
      </c>
    </row>
    <row r="27" spans="1:24" x14ac:dyDescent="0.25">
      <c r="I27" s="374"/>
    </row>
    <row r="28" spans="1:24" x14ac:dyDescent="0.25">
      <c r="I28" s="374"/>
    </row>
  </sheetData>
  <mergeCells count="6">
    <mergeCell ref="K3:L3"/>
    <mergeCell ref="A1:L1"/>
    <mergeCell ref="C3:D3"/>
    <mergeCell ref="E3:F3"/>
    <mergeCell ref="G3:H3"/>
    <mergeCell ref="I3:J3"/>
  </mergeCells>
  <phoneticPr fontId="15" type="noConversion"/>
  <printOptions horizontalCentered="1" verticalCentered="1"/>
  <pageMargins left="0.5" right="0.5" top="0.25" bottom="0.75" header="0.5" footer="0.5"/>
  <pageSetup scale="73" orientation="portrait" r:id="rId1"/>
  <headerFooter alignWithMargins="0">
    <oddFooter xml:space="preserve">&amp;LSource: Office of Institutional Research&amp;R
</oddFooter>
  </headerFooter>
  <drawing r:id="rId2"/>
  <webPublishItems count="1">
    <webPublishItem id="8539" divId="2004_2005 FACT BOOK WORKING COPY_8539" sourceType="sheet" destinationFile="C:\Documents and Settings\mkirkpatrick\My Documents\2004-2005 FACT BOOK\2004-2005 fact book WEB PAGES\04_05springenrollmentbyclassandGRAPH.htm"/>
  </webPublishItem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Z27"/>
  <sheetViews>
    <sheetView workbookViewId="0">
      <selection sqref="A1:L1"/>
    </sheetView>
  </sheetViews>
  <sheetFormatPr defaultColWidth="6.6640625" defaultRowHeight="13.2" x14ac:dyDescent="0.25"/>
  <cols>
    <col min="1" max="1" width="20.44140625" style="191" customWidth="1"/>
    <col min="2" max="2" width="12.6640625" style="191" hidden="1" customWidth="1"/>
    <col min="3" max="12" width="12.6640625" style="191" customWidth="1"/>
    <col min="13" max="13" width="6.6640625" style="191" customWidth="1"/>
    <col min="14" max="14" width="19.44140625" style="1287" bestFit="1" customWidth="1"/>
    <col min="15" max="19" width="6.6640625" style="1287"/>
    <col min="20" max="16384" width="6.6640625" style="191"/>
  </cols>
  <sheetData>
    <row r="1" spans="1:26" ht="39" customHeight="1" x14ac:dyDescent="0.35">
      <c r="A1" s="1753" t="s">
        <v>1044</v>
      </c>
      <c r="B1" s="1753"/>
      <c r="C1" s="1753"/>
      <c r="D1" s="1753"/>
      <c r="E1" s="1753"/>
      <c r="F1" s="1753"/>
      <c r="G1" s="1753"/>
      <c r="H1" s="1753"/>
      <c r="I1" s="1753"/>
      <c r="J1" s="1753"/>
      <c r="K1" s="1753"/>
      <c r="L1" s="1753"/>
    </row>
    <row r="2" spans="1:26" ht="12.75" customHeight="1" x14ac:dyDescent="0.35">
      <c r="A2" s="206"/>
      <c r="B2" s="207"/>
      <c r="C2" s="207"/>
      <c r="D2" s="207"/>
      <c r="E2" s="207"/>
      <c r="F2" s="207"/>
      <c r="G2" s="207"/>
      <c r="H2" s="207"/>
      <c r="I2" s="207"/>
      <c r="J2" s="207"/>
    </row>
    <row r="3" spans="1:26" x14ac:dyDescent="0.25">
      <c r="A3" s="196"/>
      <c r="B3" s="503">
        <v>2008</v>
      </c>
      <c r="C3" s="1751">
        <v>2009</v>
      </c>
      <c r="D3" s="1752"/>
      <c r="E3" s="1751">
        <v>2010</v>
      </c>
      <c r="F3" s="1752"/>
      <c r="G3" s="1751">
        <v>2011</v>
      </c>
      <c r="H3" s="1752"/>
      <c r="I3" s="1751">
        <v>2012</v>
      </c>
      <c r="J3" s="1752"/>
      <c r="K3" s="1751">
        <v>2013</v>
      </c>
      <c r="L3" s="1752"/>
      <c r="N3" s="1287" t="s">
        <v>1314</v>
      </c>
      <c r="T3" s="1287"/>
      <c r="U3" s="1399"/>
      <c r="V3" s="1399"/>
      <c r="W3" s="1399"/>
    </row>
    <row r="4" spans="1:26" ht="30" customHeight="1" x14ac:dyDescent="0.25">
      <c r="A4" s="197" t="s">
        <v>1312</v>
      </c>
      <c r="B4" s="476" t="s">
        <v>1033</v>
      </c>
      <c r="C4" s="198" t="s">
        <v>1033</v>
      </c>
      <c r="D4" s="199" t="s">
        <v>1034</v>
      </c>
      <c r="E4" s="198" t="s">
        <v>1033</v>
      </c>
      <c r="F4" s="199" t="s">
        <v>1034</v>
      </c>
      <c r="G4" s="198" t="s">
        <v>1033</v>
      </c>
      <c r="H4" s="199" t="s">
        <v>1034</v>
      </c>
      <c r="I4" s="198" t="s">
        <v>1033</v>
      </c>
      <c r="J4" s="199" t="s">
        <v>1034</v>
      </c>
      <c r="K4" s="198" t="s">
        <v>1033</v>
      </c>
      <c r="L4" s="199" t="s">
        <v>1034</v>
      </c>
      <c r="N4" s="1353"/>
      <c r="O4" s="1353"/>
      <c r="P4" s="1353"/>
      <c r="Q4" s="1353"/>
      <c r="R4" s="1353"/>
      <c r="S4" s="1353"/>
      <c r="T4" s="1287"/>
      <c r="U4" s="1399"/>
      <c r="V4" s="1399"/>
      <c r="W4" s="1399"/>
    </row>
    <row r="5" spans="1:26" x14ac:dyDescent="0.25">
      <c r="A5" s="394"/>
      <c r="B5" s="477"/>
      <c r="C5" s="397"/>
      <c r="D5" s="395"/>
      <c r="E5" s="396"/>
      <c r="F5" s="395"/>
      <c r="G5" s="396"/>
      <c r="H5" s="395"/>
      <c r="I5" s="396"/>
      <c r="J5" s="395"/>
      <c r="K5" s="396"/>
      <c r="L5" s="395"/>
      <c r="N5" s="1353"/>
      <c r="O5" s="1354">
        <v>2008</v>
      </c>
      <c r="P5" s="1355">
        <f>+O5+1</f>
        <v>2009</v>
      </c>
      <c r="Q5" s="1355">
        <f>+P5+1</f>
        <v>2010</v>
      </c>
      <c r="R5" s="1355">
        <f>+Q5+1</f>
        <v>2011</v>
      </c>
      <c r="S5" s="1355">
        <f>+R5+1</f>
        <v>2012</v>
      </c>
      <c r="T5" s="1286">
        <v>2013</v>
      </c>
      <c r="U5" s="1477"/>
      <c r="V5" s="1477"/>
      <c r="W5" s="1477"/>
      <c r="X5" s="1478"/>
      <c r="Y5" s="1478"/>
      <c r="Z5" s="1478"/>
    </row>
    <row r="6" spans="1:26" x14ac:dyDescent="0.25">
      <c r="A6" s="200" t="s">
        <v>1035</v>
      </c>
      <c r="B6" s="1221">
        <v>56</v>
      </c>
      <c r="C6" s="201">
        <v>27</v>
      </c>
      <c r="D6" s="202">
        <f>(C6-B6)/B6</f>
        <v>-0.5178571428571429</v>
      </c>
      <c r="E6" s="201">
        <v>36</v>
      </c>
      <c r="F6" s="202">
        <f>(E6-C6)/C6</f>
        <v>0.33333333333333331</v>
      </c>
      <c r="G6" s="201">
        <v>29</v>
      </c>
      <c r="H6" s="202">
        <f>(G6-E6)/E6</f>
        <v>-0.19444444444444445</v>
      </c>
      <c r="I6" s="201">
        <v>19</v>
      </c>
      <c r="J6" s="202">
        <f>(I6-G6)/G6</f>
        <v>-0.34482758620689657</v>
      </c>
      <c r="K6" s="201">
        <v>15</v>
      </c>
      <c r="L6" s="202">
        <f>(K6-I6)/I6</f>
        <v>-0.21052631578947367</v>
      </c>
      <c r="N6" s="1353" t="s">
        <v>1035</v>
      </c>
      <c r="O6" s="1353">
        <f>+B6</f>
        <v>56</v>
      </c>
      <c r="P6" s="1353">
        <f>+C6</f>
        <v>27</v>
      </c>
      <c r="Q6" s="1353">
        <f>+E6</f>
        <v>36</v>
      </c>
      <c r="R6" s="1353">
        <f>+G6</f>
        <v>29</v>
      </c>
      <c r="S6" s="1353">
        <f>+I6</f>
        <v>19</v>
      </c>
      <c r="T6" s="1287">
        <f>+K6</f>
        <v>15</v>
      </c>
      <c r="U6" s="1399"/>
      <c r="V6" s="1399"/>
      <c r="W6" s="1399"/>
    </row>
    <row r="7" spans="1:26" x14ac:dyDescent="0.25">
      <c r="A7" s="394"/>
      <c r="B7" s="477"/>
      <c r="C7" s="397"/>
      <c r="D7" s="395"/>
      <c r="E7" s="396"/>
      <c r="F7" s="395"/>
      <c r="G7" s="396"/>
      <c r="H7" s="395"/>
      <c r="I7" s="396"/>
      <c r="J7" s="395"/>
      <c r="K7" s="396"/>
      <c r="L7" s="395"/>
      <c r="N7" s="1353" t="s">
        <v>1036</v>
      </c>
      <c r="O7" s="1353">
        <f>+B8</f>
        <v>93</v>
      </c>
      <c r="P7" s="1353">
        <f>+C8</f>
        <v>88</v>
      </c>
      <c r="Q7" s="1353">
        <f>+E8</f>
        <v>119</v>
      </c>
      <c r="R7" s="1353">
        <f>+G8</f>
        <v>126</v>
      </c>
      <c r="S7" s="1353">
        <f>+I8</f>
        <v>85</v>
      </c>
      <c r="T7" s="1287">
        <f>+K8</f>
        <v>76</v>
      </c>
      <c r="U7" s="1399"/>
      <c r="V7" s="1399"/>
      <c r="W7" s="1399"/>
    </row>
    <row r="8" spans="1:26" x14ac:dyDescent="0.25">
      <c r="A8" s="200" t="s">
        <v>1036</v>
      </c>
      <c r="B8" s="200">
        <v>93</v>
      </c>
      <c r="C8" s="201">
        <v>88</v>
      </c>
      <c r="D8" s="202">
        <f>(C8-B8)/B8</f>
        <v>-5.3763440860215055E-2</v>
      </c>
      <c r="E8" s="201">
        <v>119</v>
      </c>
      <c r="F8" s="202">
        <f>(E8-C8)/C8</f>
        <v>0.35227272727272729</v>
      </c>
      <c r="G8" s="201">
        <v>126</v>
      </c>
      <c r="H8" s="202">
        <f>(G8-E8)/E8</f>
        <v>5.8823529411764705E-2</v>
      </c>
      <c r="I8" s="201">
        <v>85</v>
      </c>
      <c r="J8" s="202">
        <f>(I8-G8)/G8</f>
        <v>-0.32539682539682541</v>
      </c>
      <c r="K8" s="201">
        <v>76</v>
      </c>
      <c r="L8" s="202">
        <f>(K8-I8)/I8</f>
        <v>-0.10588235294117647</v>
      </c>
      <c r="N8" s="1353" t="s">
        <v>1037</v>
      </c>
      <c r="O8" s="1353">
        <f>+B10</f>
        <v>120</v>
      </c>
      <c r="P8" s="1353">
        <f>+C10</f>
        <v>144</v>
      </c>
      <c r="Q8" s="1353">
        <f>+E10</f>
        <v>135</v>
      </c>
      <c r="R8" s="1353">
        <f>+G10</f>
        <v>135</v>
      </c>
      <c r="S8" s="1353">
        <f>+I10</f>
        <v>182</v>
      </c>
      <c r="T8" s="1287">
        <f>+K10</f>
        <v>151</v>
      </c>
      <c r="U8" s="1399"/>
      <c r="V8" s="1399"/>
      <c r="W8" s="1399"/>
    </row>
    <row r="9" spans="1:26" x14ac:dyDescent="0.25">
      <c r="A9" s="394"/>
      <c r="B9" s="477"/>
      <c r="C9" s="397"/>
      <c r="D9" s="395"/>
      <c r="E9" s="396"/>
      <c r="F9" s="395"/>
      <c r="G9" s="396"/>
      <c r="H9" s="395"/>
      <c r="I9" s="396"/>
      <c r="J9" s="395"/>
      <c r="K9" s="396"/>
      <c r="L9" s="395"/>
      <c r="N9" s="1353" t="s">
        <v>1038</v>
      </c>
      <c r="O9" s="1353">
        <f>+B12</f>
        <v>323</v>
      </c>
      <c r="P9" s="1353">
        <f>+C12</f>
        <v>293</v>
      </c>
      <c r="Q9" s="1353">
        <f>+E12</f>
        <v>272</v>
      </c>
      <c r="R9" s="1353">
        <f>+G12</f>
        <v>290</v>
      </c>
      <c r="S9" s="1353">
        <f>+I12</f>
        <v>306</v>
      </c>
      <c r="T9" s="1287">
        <f>+K12</f>
        <v>310</v>
      </c>
      <c r="U9" s="1399"/>
      <c r="V9" s="1399"/>
      <c r="W9" s="1399"/>
    </row>
    <row r="10" spans="1:26" x14ac:dyDescent="0.25">
      <c r="A10" s="200" t="s">
        <v>1037</v>
      </c>
      <c r="B10" s="200">
        <v>120</v>
      </c>
      <c r="C10" s="201">
        <v>144</v>
      </c>
      <c r="D10" s="202">
        <f>(C10-B10)/B10</f>
        <v>0.2</v>
      </c>
      <c r="E10" s="201">
        <v>135</v>
      </c>
      <c r="F10" s="202">
        <f>(E10-C10)/C10</f>
        <v>-6.25E-2</v>
      </c>
      <c r="G10" s="201">
        <v>135</v>
      </c>
      <c r="H10" s="202">
        <f>(G10-E10)/E10</f>
        <v>0</v>
      </c>
      <c r="I10" s="201">
        <v>182</v>
      </c>
      <c r="J10" s="202">
        <f>(I10-G10)/G10</f>
        <v>0.34814814814814815</v>
      </c>
      <c r="K10" s="201">
        <v>151</v>
      </c>
      <c r="L10" s="202">
        <f>(K10-I10)/I10</f>
        <v>-0.17032967032967034</v>
      </c>
      <c r="N10" s="1353" t="s">
        <v>1039</v>
      </c>
      <c r="O10" s="1353">
        <f>+B14</f>
        <v>20</v>
      </c>
      <c r="P10" s="1353">
        <f>+C14</f>
        <v>17</v>
      </c>
      <c r="Q10" s="1353">
        <f>+E14</f>
        <v>12</v>
      </c>
      <c r="R10" s="1353">
        <f>+G14</f>
        <v>16</v>
      </c>
      <c r="S10" s="1353">
        <f>+I14</f>
        <v>21</v>
      </c>
      <c r="T10" s="1287">
        <f>+K14</f>
        <v>24</v>
      </c>
      <c r="U10" s="1399"/>
      <c r="V10" s="1399"/>
      <c r="W10" s="1399"/>
    </row>
    <row r="11" spans="1:26" x14ac:dyDescent="0.25">
      <c r="A11" s="394"/>
      <c r="B11" s="477"/>
      <c r="C11" s="397"/>
      <c r="D11" s="395"/>
      <c r="E11" s="396"/>
      <c r="F11" s="395"/>
      <c r="G11" s="396"/>
      <c r="H11" s="395"/>
      <c r="I11" s="396"/>
      <c r="J11" s="395"/>
      <c r="K11" s="396"/>
      <c r="L11" s="395"/>
      <c r="N11" s="1353" t="s">
        <v>1040</v>
      </c>
      <c r="O11" s="1353">
        <f>+B16</f>
        <v>74</v>
      </c>
      <c r="P11" s="1353">
        <f>+C16</f>
        <v>235</v>
      </c>
      <c r="Q11" s="1353">
        <f>+E16</f>
        <v>238</v>
      </c>
      <c r="R11" s="1353">
        <f>+G16</f>
        <v>198</v>
      </c>
      <c r="S11" s="1353">
        <f>+I16</f>
        <v>147</v>
      </c>
      <c r="T11" s="1287">
        <f>+K16</f>
        <v>143</v>
      </c>
      <c r="U11" s="1399"/>
      <c r="V11" s="1399"/>
      <c r="W11" s="1399"/>
    </row>
    <row r="12" spans="1:26" x14ac:dyDescent="0.25">
      <c r="A12" s="200" t="s">
        <v>1038</v>
      </c>
      <c r="B12" s="200">
        <v>323</v>
      </c>
      <c r="C12" s="201">
        <v>293</v>
      </c>
      <c r="D12" s="202">
        <f>(C12-B12)/B12</f>
        <v>-9.2879256965944276E-2</v>
      </c>
      <c r="E12" s="201">
        <v>272</v>
      </c>
      <c r="F12" s="202">
        <f>(E12-C12)/C12</f>
        <v>-7.1672354948805458E-2</v>
      </c>
      <c r="G12" s="201">
        <v>290</v>
      </c>
      <c r="H12" s="202">
        <f>(G12-E12)/E12</f>
        <v>6.6176470588235295E-2</v>
      </c>
      <c r="I12" s="201">
        <v>306</v>
      </c>
      <c r="J12" s="202">
        <f>(I12-G12)/G12</f>
        <v>5.5172413793103448E-2</v>
      </c>
      <c r="K12" s="201">
        <v>310</v>
      </c>
      <c r="L12" s="202">
        <f>(K12-I12)/I12</f>
        <v>1.3071895424836602E-2</v>
      </c>
      <c r="N12" s="1353" t="s">
        <v>942</v>
      </c>
      <c r="O12" s="1353">
        <f>+B20</f>
        <v>91</v>
      </c>
      <c r="P12" s="1353">
        <f>+C20</f>
        <v>120</v>
      </c>
      <c r="Q12" s="1353">
        <f>+E20</f>
        <v>174</v>
      </c>
      <c r="R12" s="1353">
        <f>+G20</f>
        <v>190</v>
      </c>
      <c r="S12" s="1353">
        <f>+I20</f>
        <v>196</v>
      </c>
      <c r="T12" s="1287">
        <f>+K20</f>
        <v>135</v>
      </c>
      <c r="U12" s="1399"/>
      <c r="V12" s="1399"/>
      <c r="W12" s="1399"/>
    </row>
    <row r="13" spans="1:26" x14ac:dyDescent="0.25">
      <c r="A13" s="394"/>
      <c r="B13" s="477"/>
      <c r="C13" s="397"/>
      <c r="D13" s="397"/>
      <c r="E13" s="396"/>
      <c r="F13" s="395"/>
      <c r="G13" s="396"/>
      <c r="H13" s="395"/>
      <c r="I13" s="396"/>
      <c r="J13" s="395"/>
      <c r="K13" s="396"/>
      <c r="L13" s="395"/>
      <c r="N13" s="1353" t="s">
        <v>941</v>
      </c>
      <c r="O13" s="1353">
        <f>+B22</f>
        <v>45</v>
      </c>
      <c r="P13" s="1353">
        <f>+C22</f>
        <v>38</v>
      </c>
      <c r="Q13" s="1353">
        <f>+E22</f>
        <v>28</v>
      </c>
      <c r="R13" s="1353">
        <f>+G22</f>
        <v>30</v>
      </c>
      <c r="S13" s="1353">
        <f>+I22</f>
        <v>47</v>
      </c>
      <c r="T13" s="1287">
        <f>+K22</f>
        <v>50</v>
      </c>
      <c r="U13" s="1399"/>
      <c r="V13" s="1399"/>
      <c r="W13" s="1399"/>
    </row>
    <row r="14" spans="1:26" x14ac:dyDescent="0.25">
      <c r="A14" s="200" t="s">
        <v>1039</v>
      </c>
      <c r="B14" s="200">
        <v>20</v>
      </c>
      <c r="C14" s="201">
        <v>17</v>
      </c>
      <c r="D14" s="202">
        <f>(C14-B14)/B14</f>
        <v>-0.15</v>
      </c>
      <c r="E14" s="201">
        <v>12</v>
      </c>
      <c r="F14" s="202">
        <f>(E14-C14)/C14</f>
        <v>-0.29411764705882354</v>
      </c>
      <c r="G14" s="201">
        <v>16</v>
      </c>
      <c r="H14" s="202">
        <f>(G14-E14)/E14</f>
        <v>0.33333333333333331</v>
      </c>
      <c r="I14" s="201">
        <v>21</v>
      </c>
      <c r="J14" s="202">
        <f>(I14-G14)/G14</f>
        <v>0.3125</v>
      </c>
      <c r="K14" s="201">
        <v>24</v>
      </c>
      <c r="L14" s="202">
        <f>(K14-I14)/I14</f>
        <v>0.14285714285714285</v>
      </c>
      <c r="N14" s="1399"/>
      <c r="O14" s="1399"/>
      <c r="P14" s="1399"/>
      <c r="Q14" s="1399"/>
      <c r="R14" s="1399"/>
      <c r="S14" s="1399"/>
      <c r="T14" s="1399"/>
      <c r="U14" s="1399"/>
      <c r="V14" s="1399"/>
      <c r="W14" s="1399"/>
    </row>
    <row r="15" spans="1:26" x14ac:dyDescent="0.25">
      <c r="A15" s="394"/>
      <c r="B15" s="477"/>
      <c r="C15" s="397"/>
      <c r="D15" s="395"/>
      <c r="E15" s="396"/>
      <c r="F15" s="395"/>
      <c r="G15" s="396"/>
      <c r="H15" s="395"/>
      <c r="I15" s="396"/>
      <c r="J15" s="395"/>
      <c r="K15" s="396"/>
      <c r="L15" s="395"/>
      <c r="N15" s="1399"/>
      <c r="O15" s="1399"/>
      <c r="P15" s="1399"/>
      <c r="Q15" s="1399"/>
      <c r="R15" s="1399"/>
      <c r="S15" s="1399"/>
      <c r="T15" s="1399"/>
      <c r="U15" s="1399"/>
      <c r="V15" s="1399"/>
      <c r="W15" s="1399"/>
    </row>
    <row r="16" spans="1:26" x14ac:dyDescent="0.25">
      <c r="A16" s="200" t="s">
        <v>1040</v>
      </c>
      <c r="B16" s="200">
        <v>74</v>
      </c>
      <c r="C16" s="201">
        <v>235</v>
      </c>
      <c r="D16" s="202">
        <f>(C16-B16)/B16</f>
        <v>2.1756756756756759</v>
      </c>
      <c r="E16" s="201">
        <v>238</v>
      </c>
      <c r="F16" s="202">
        <f>(E16-C16)/C16</f>
        <v>1.276595744680851E-2</v>
      </c>
      <c r="G16" s="201">
        <v>198</v>
      </c>
      <c r="H16" s="202">
        <f>(G16-E16)/E16</f>
        <v>-0.16806722689075632</v>
      </c>
      <c r="I16" s="201">
        <v>147</v>
      </c>
      <c r="J16" s="202">
        <f>(I16-G16)/G16</f>
        <v>-0.25757575757575757</v>
      </c>
      <c r="K16" s="201">
        <v>143</v>
      </c>
      <c r="L16" s="202">
        <f>(K16-I16)/I16</f>
        <v>-2.7210884353741496E-2</v>
      </c>
      <c r="N16" s="1399"/>
      <c r="O16" s="1399"/>
      <c r="P16" s="1399"/>
      <c r="Q16" s="1399"/>
      <c r="R16" s="1399"/>
      <c r="S16" s="1399"/>
      <c r="T16" s="1399"/>
      <c r="U16" s="1399"/>
      <c r="V16" s="1399"/>
      <c r="W16" s="1399"/>
    </row>
    <row r="17" spans="1:23" x14ac:dyDescent="0.25">
      <c r="A17" s="394"/>
      <c r="B17" s="477"/>
      <c r="C17" s="397"/>
      <c r="D17" s="395"/>
      <c r="E17" s="396"/>
      <c r="F17" s="395"/>
      <c r="G17" s="396"/>
      <c r="H17" s="395"/>
      <c r="I17" s="396"/>
      <c r="J17" s="395"/>
      <c r="K17" s="396"/>
      <c r="L17" s="395"/>
      <c r="N17" s="1399"/>
      <c r="O17" s="1399"/>
      <c r="P17" s="1399"/>
      <c r="Q17" s="1399"/>
      <c r="R17" s="1399"/>
      <c r="S17" s="1399"/>
      <c r="T17" s="1399"/>
      <c r="U17" s="1399"/>
      <c r="V17" s="1399"/>
      <c r="W17" s="1399"/>
    </row>
    <row r="18" spans="1:23" x14ac:dyDescent="0.25">
      <c r="A18" s="203" t="s">
        <v>1041</v>
      </c>
      <c r="B18" s="1222">
        <f>SUM(B6:B16)</f>
        <v>686</v>
      </c>
      <c r="C18" s="390">
        <f>SUM(C6:C16)</f>
        <v>804</v>
      </c>
      <c r="D18" s="391">
        <f>(C18-B18)/B18</f>
        <v>0.17201166180758018</v>
      </c>
      <c r="E18" s="390">
        <f>SUM(E6:E16)</f>
        <v>812</v>
      </c>
      <c r="F18" s="391">
        <f>(E18-C18)/C18</f>
        <v>9.9502487562189053E-3</v>
      </c>
      <c r="G18" s="390">
        <f>SUM(G6:G16)</f>
        <v>794</v>
      </c>
      <c r="H18" s="391">
        <f>(G18-E18)/E18</f>
        <v>-2.2167487684729065E-2</v>
      </c>
      <c r="I18" s="390">
        <f>SUM(I6:I16)</f>
        <v>760</v>
      </c>
      <c r="J18" s="391">
        <f>(I18-G18)/G18</f>
        <v>-4.2821158690176324E-2</v>
      </c>
      <c r="K18" s="390">
        <f>SUM(K6:K16)</f>
        <v>719</v>
      </c>
      <c r="L18" s="391">
        <f>(K18-I18)/I18</f>
        <v>-5.3947368421052633E-2</v>
      </c>
      <c r="N18" s="1399"/>
      <c r="O18" s="1399"/>
      <c r="P18" s="1399"/>
      <c r="Q18" s="1399"/>
      <c r="R18" s="1399"/>
      <c r="S18" s="1399"/>
      <c r="T18" s="1399"/>
      <c r="U18" s="1399"/>
      <c r="V18" s="1399"/>
      <c r="W18" s="1399"/>
    </row>
    <row r="19" spans="1:23" x14ac:dyDescent="0.25">
      <c r="A19" s="394"/>
      <c r="B19" s="477"/>
      <c r="C19" s="397"/>
      <c r="D19" s="395"/>
      <c r="E19" s="396"/>
      <c r="F19" s="395"/>
      <c r="G19" s="396"/>
      <c r="H19" s="395"/>
      <c r="I19" s="396"/>
      <c r="J19" s="395"/>
      <c r="K19" s="396"/>
      <c r="L19" s="395"/>
      <c r="N19" s="1399"/>
      <c r="O19" s="1399"/>
      <c r="P19" s="1399"/>
      <c r="Q19" s="1399"/>
      <c r="R19" s="1399"/>
      <c r="S19" s="1399"/>
      <c r="T19" s="1399"/>
      <c r="U19" s="1399"/>
      <c r="V19" s="1399"/>
      <c r="W19" s="1399"/>
    </row>
    <row r="20" spans="1:23" x14ac:dyDescent="0.25">
      <c r="A20" s="200" t="s">
        <v>942</v>
      </c>
      <c r="B20" s="200">
        <v>91</v>
      </c>
      <c r="C20" s="201">
        <v>120</v>
      </c>
      <c r="D20" s="202">
        <f>(C20-B20)/B20</f>
        <v>0.31868131868131866</v>
      </c>
      <c r="E20" s="201">
        <v>174</v>
      </c>
      <c r="F20" s="202">
        <f>(E20-C20)/C20</f>
        <v>0.45</v>
      </c>
      <c r="G20" s="201">
        <v>190</v>
      </c>
      <c r="H20" s="202">
        <f>(G20-E20)/E20</f>
        <v>9.1954022988505746E-2</v>
      </c>
      <c r="I20" s="201">
        <v>196</v>
      </c>
      <c r="J20" s="202">
        <f>(I20-G20)/G20</f>
        <v>3.1578947368421054E-2</v>
      </c>
      <c r="K20" s="201">
        <v>135</v>
      </c>
      <c r="L20" s="202">
        <f>(K20-I20)/I20</f>
        <v>-0.31122448979591838</v>
      </c>
      <c r="N20" s="1399"/>
      <c r="O20" s="1399"/>
      <c r="P20" s="1399"/>
      <c r="Q20" s="1399"/>
      <c r="R20" s="1399"/>
      <c r="S20" s="1399"/>
      <c r="T20" s="1399"/>
      <c r="U20" s="1399"/>
      <c r="V20" s="1399"/>
      <c r="W20" s="1399"/>
    </row>
    <row r="21" spans="1:23" x14ac:dyDescent="0.25">
      <c r="A21" s="394"/>
      <c r="B21" s="477"/>
      <c r="C21" s="397"/>
      <c r="D21" s="395"/>
      <c r="E21" s="396"/>
      <c r="F21" s="395"/>
      <c r="G21" s="396"/>
      <c r="H21" s="395"/>
      <c r="I21" s="396"/>
      <c r="J21" s="395"/>
      <c r="K21" s="396"/>
      <c r="L21" s="395"/>
      <c r="N21" s="1399"/>
      <c r="O21" s="1399"/>
      <c r="P21" s="1399"/>
      <c r="Q21" s="1399"/>
      <c r="R21" s="1399"/>
      <c r="S21" s="1399"/>
      <c r="T21" s="1399"/>
      <c r="U21" s="1399"/>
      <c r="V21" s="1399"/>
      <c r="W21" s="1399"/>
    </row>
    <row r="22" spans="1:23" x14ac:dyDescent="0.25">
      <c r="A22" s="200" t="s">
        <v>941</v>
      </c>
      <c r="B22" s="200">
        <v>45</v>
      </c>
      <c r="C22" s="1224">
        <v>38</v>
      </c>
      <c r="D22" s="202">
        <f>(C22-B22)/B22</f>
        <v>-0.15555555555555556</v>
      </c>
      <c r="E22" s="201">
        <v>28</v>
      </c>
      <c r="F22" s="202">
        <f>(E22-C22)/C22</f>
        <v>-0.26315789473684209</v>
      </c>
      <c r="G22" s="201">
        <v>30</v>
      </c>
      <c r="H22" s="202">
        <f>(G22-E22)/E22</f>
        <v>7.1428571428571425E-2</v>
      </c>
      <c r="I22" s="201">
        <v>47</v>
      </c>
      <c r="J22" s="202">
        <f>(I22-G22)/G22</f>
        <v>0.56666666666666665</v>
      </c>
      <c r="K22" s="201">
        <v>50</v>
      </c>
      <c r="L22" s="202">
        <f>(K22-I22)/I22</f>
        <v>6.3829787234042548E-2</v>
      </c>
    </row>
    <row r="23" spans="1:23" x14ac:dyDescent="0.25">
      <c r="A23" s="394"/>
      <c r="B23" s="477"/>
      <c r="C23" s="397"/>
      <c r="D23" s="395"/>
      <c r="E23" s="396"/>
      <c r="F23" s="395"/>
      <c r="G23" s="396"/>
      <c r="H23" s="395"/>
      <c r="I23" s="396"/>
      <c r="J23" s="395"/>
      <c r="K23" s="396"/>
      <c r="L23" s="395"/>
    </row>
    <row r="24" spans="1:23" x14ac:dyDescent="0.25">
      <c r="A24" s="204" t="s">
        <v>1042</v>
      </c>
      <c r="B24" s="1222">
        <f>B20+B22</f>
        <v>136</v>
      </c>
      <c r="C24" s="390">
        <f>C20+C22</f>
        <v>158</v>
      </c>
      <c r="D24" s="391">
        <f>(C24-B24)/B24</f>
        <v>0.16176470588235295</v>
      </c>
      <c r="E24" s="390">
        <f>E20+E22</f>
        <v>202</v>
      </c>
      <c r="F24" s="391">
        <f>(E24-C24)/C24</f>
        <v>0.27848101265822783</v>
      </c>
      <c r="G24" s="390">
        <f>G20+G22</f>
        <v>220</v>
      </c>
      <c r="H24" s="391">
        <f>(G24-E24)/E24</f>
        <v>8.9108910891089105E-2</v>
      </c>
      <c r="I24" s="390">
        <f>I20+I22</f>
        <v>243</v>
      </c>
      <c r="J24" s="391">
        <f>(I24-G24)/G24</f>
        <v>0.10454545454545454</v>
      </c>
      <c r="K24" s="390">
        <f>K20+K22</f>
        <v>185</v>
      </c>
      <c r="L24" s="391">
        <f>(K24-I24)/I24</f>
        <v>-0.23868312757201646</v>
      </c>
    </row>
    <row r="25" spans="1:23" x14ac:dyDescent="0.25">
      <c r="A25" s="394"/>
      <c r="B25" s="477"/>
      <c r="C25" s="397"/>
      <c r="D25" s="395"/>
      <c r="E25" s="396"/>
      <c r="F25" s="395"/>
      <c r="G25" s="396"/>
      <c r="H25" s="395"/>
      <c r="I25" s="396"/>
      <c r="J25" s="395"/>
      <c r="K25" s="396"/>
      <c r="L25" s="395"/>
    </row>
    <row r="26" spans="1:23" x14ac:dyDescent="0.25">
      <c r="A26" s="205" t="s">
        <v>949</v>
      </c>
      <c r="B26" s="1223">
        <f>B18+B24</f>
        <v>822</v>
      </c>
      <c r="C26" s="392">
        <f>C18+C24</f>
        <v>962</v>
      </c>
      <c r="D26" s="391">
        <f>(C26-B26)/B26</f>
        <v>0.170316301703163</v>
      </c>
      <c r="E26" s="392">
        <f>E18+E24</f>
        <v>1014</v>
      </c>
      <c r="F26" s="391">
        <f>(E26-C26)/C26</f>
        <v>5.4054054054054057E-2</v>
      </c>
      <c r="G26" s="392">
        <f>G18+G24</f>
        <v>1014</v>
      </c>
      <c r="H26" s="391">
        <f>(G26-E26)/E26</f>
        <v>0</v>
      </c>
      <c r="I26" s="392">
        <f>I18+I24</f>
        <v>1003</v>
      </c>
      <c r="J26" s="391">
        <f>(I26-G26)/G26</f>
        <v>-1.0848126232741617E-2</v>
      </c>
      <c r="K26" s="392">
        <f>K18+K24</f>
        <v>904</v>
      </c>
      <c r="L26" s="391">
        <f>(K26-I26)/I26</f>
        <v>-9.8703888334995021E-2</v>
      </c>
    </row>
    <row r="27" spans="1:23" x14ac:dyDescent="0.25">
      <c r="A27" s="208"/>
      <c r="B27" s="208"/>
      <c r="C27" s="208"/>
      <c r="D27" s="208"/>
      <c r="E27" s="208"/>
      <c r="F27" s="192"/>
      <c r="G27" s="192"/>
      <c r="H27" s="192"/>
      <c r="I27" s="373"/>
      <c r="J27" s="192"/>
    </row>
  </sheetData>
  <mergeCells count="6">
    <mergeCell ref="K3:L3"/>
    <mergeCell ref="A1:L1"/>
    <mergeCell ref="C3:D3"/>
    <mergeCell ref="E3:F3"/>
    <mergeCell ref="G3:H3"/>
    <mergeCell ref="I3:J3"/>
  </mergeCells>
  <phoneticPr fontId="15" type="noConversion"/>
  <printOptions horizontalCentered="1" verticalCentered="1"/>
  <pageMargins left="0.5" right="0.5" top="0.25" bottom="0.75" header="0.5" footer="0.5"/>
  <pageSetup scale="72" orientation="portrait" horizontalDpi="4294967293" r:id="rId1"/>
  <headerFooter alignWithMargins="0">
    <oddFooter xml:space="preserve">&amp;LSource: Office of Institutional Research&amp;R
</oddFooter>
  </headerFooter>
  <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4"/>
  <dimension ref="A1:N130"/>
  <sheetViews>
    <sheetView zoomScale="80" zoomScaleNormal="80" workbookViewId="0">
      <selection sqref="A1:L1"/>
    </sheetView>
  </sheetViews>
  <sheetFormatPr defaultRowHeight="13.2" x14ac:dyDescent="0.25"/>
  <cols>
    <col min="1" max="1" width="70.33203125" customWidth="1"/>
    <col min="2" max="2" width="15.44140625" hidden="1" customWidth="1"/>
    <col min="3" max="3" width="15.44140625" customWidth="1"/>
    <col min="4" max="4" width="15.44140625" style="7" customWidth="1"/>
    <col min="5" max="14" width="15.44140625" customWidth="1"/>
  </cols>
  <sheetData>
    <row r="1" spans="1:14" ht="19.2" x14ac:dyDescent="0.35">
      <c r="A1" s="1755" t="s">
        <v>868</v>
      </c>
      <c r="B1" s="1755"/>
      <c r="C1" s="1755"/>
      <c r="D1" s="1755"/>
      <c r="E1" s="1755"/>
      <c r="F1" s="1755"/>
      <c r="G1" s="1755"/>
      <c r="H1" s="1755"/>
      <c r="I1" s="1755"/>
      <c r="J1" s="1755"/>
      <c r="K1" s="1755"/>
      <c r="L1" s="1755"/>
      <c r="M1" s="1304"/>
      <c r="N1" s="1304"/>
    </row>
    <row r="2" spans="1:14" ht="8.25" customHeight="1" thickBot="1" x14ac:dyDescent="0.4">
      <c r="A2" s="535"/>
      <c r="B2" s="535"/>
      <c r="C2" s="535"/>
      <c r="D2" s="535"/>
    </row>
    <row r="3" spans="1:14" ht="20.25" customHeight="1" thickBot="1" x14ac:dyDescent="0.35">
      <c r="A3" s="1718" t="s">
        <v>400</v>
      </c>
      <c r="B3" s="1719"/>
      <c r="C3" s="1719"/>
      <c r="D3" s="1719"/>
      <c r="E3" s="1719"/>
      <c r="F3" s="1719"/>
      <c r="G3" s="1719"/>
      <c r="H3" s="1719"/>
      <c r="I3" s="1719"/>
      <c r="J3" s="1719"/>
      <c r="K3" s="1719"/>
      <c r="L3" s="1720"/>
    </row>
    <row r="4" spans="1:14" ht="20.25" customHeight="1" x14ac:dyDescent="0.3">
      <c r="A4" s="800" t="s">
        <v>401</v>
      </c>
      <c r="B4" s="673">
        <v>2007</v>
      </c>
      <c r="C4" s="673">
        <f>B4+1</f>
        <v>2008</v>
      </c>
      <c r="D4" s="801" t="s">
        <v>1046</v>
      </c>
      <c r="E4" s="673">
        <f>C4+1</f>
        <v>2009</v>
      </c>
      <c r="F4" s="801" t="s">
        <v>1046</v>
      </c>
      <c r="G4" s="673">
        <f>E4+1</f>
        <v>2010</v>
      </c>
      <c r="H4" s="801" t="s">
        <v>1046</v>
      </c>
      <c r="I4" s="673">
        <f>G4+1</f>
        <v>2011</v>
      </c>
      <c r="J4" s="970" t="s">
        <v>1046</v>
      </c>
      <c r="K4" s="673">
        <f>I4+1</f>
        <v>2012</v>
      </c>
      <c r="L4" s="970" t="s">
        <v>1046</v>
      </c>
    </row>
    <row r="5" spans="1:14" ht="18" customHeight="1" x14ac:dyDescent="0.3">
      <c r="A5" s="536" t="s">
        <v>402</v>
      </c>
      <c r="B5" s="537"/>
      <c r="C5" s="537"/>
      <c r="D5" s="538"/>
      <c r="E5" s="537"/>
      <c r="F5" s="538"/>
      <c r="G5" s="537"/>
      <c r="H5" s="538"/>
      <c r="I5" s="537"/>
      <c r="J5" s="743"/>
      <c r="K5" s="537"/>
      <c r="L5" s="743"/>
    </row>
    <row r="6" spans="1:14" ht="18" customHeight="1" x14ac:dyDescent="0.3">
      <c r="A6" s="540" t="s">
        <v>1057</v>
      </c>
      <c r="B6" s="541">
        <v>98</v>
      </c>
      <c r="C6" s="541">
        <v>99</v>
      </c>
      <c r="D6" s="542">
        <f t="shared" ref="D6:D13" si="0">IF(B6&gt;0,(C6-B6)/B6,(IF(C6=0,"N/A",100%)))</f>
        <v>1.020408163265306E-2</v>
      </c>
      <c r="E6" s="541">
        <v>110</v>
      </c>
      <c r="F6" s="542">
        <f t="shared" ref="F6:F13" si="1">IF(C6&gt;0,(E6-C6)/C6,(IF(E6=0,"N/A",100%)))</f>
        <v>0.1111111111111111</v>
      </c>
      <c r="G6" s="541">
        <v>127</v>
      </c>
      <c r="H6" s="542">
        <f t="shared" ref="H6:H13" si="2">IF(E6&gt;0,(G6-E6)/E6,(IF(G6=0,"N/A",100%)))</f>
        <v>0.15454545454545454</v>
      </c>
      <c r="I6" s="541">
        <v>125</v>
      </c>
      <c r="J6" s="744">
        <f t="shared" ref="J6:J13" si="3">IF(G6&gt;0,(I6-G6)/G6,(IF(I6=0,"N/A",100%)))</f>
        <v>-1.5748031496062992E-2</v>
      </c>
      <c r="K6" s="541">
        <v>118</v>
      </c>
      <c r="L6" s="744">
        <f t="shared" ref="L6:L13" si="4">IF(I6&gt;0,(K6-I6)/I6,(IF(K6=0,"N/A",100%)))</f>
        <v>-5.6000000000000001E-2</v>
      </c>
    </row>
    <row r="7" spans="1:14" ht="18" customHeight="1" x14ac:dyDescent="0.3">
      <c r="A7" s="540" t="s">
        <v>511</v>
      </c>
      <c r="B7" s="541">
        <v>6</v>
      </c>
      <c r="C7" s="541">
        <v>16</v>
      </c>
      <c r="D7" s="542">
        <f t="shared" si="0"/>
        <v>1.6666666666666667</v>
      </c>
      <c r="E7" s="541">
        <v>13</v>
      </c>
      <c r="F7" s="542">
        <f t="shared" si="1"/>
        <v>-0.1875</v>
      </c>
      <c r="G7" s="541">
        <v>16</v>
      </c>
      <c r="H7" s="542">
        <f t="shared" si="2"/>
        <v>0.23076923076923078</v>
      </c>
      <c r="I7" s="541">
        <v>11</v>
      </c>
      <c r="J7" s="744">
        <f t="shared" si="3"/>
        <v>-0.3125</v>
      </c>
      <c r="K7" s="541">
        <v>13</v>
      </c>
      <c r="L7" s="744">
        <f t="shared" si="4"/>
        <v>0.18181818181818182</v>
      </c>
    </row>
    <row r="8" spans="1:14" ht="18" customHeight="1" x14ac:dyDescent="0.3">
      <c r="A8" s="540" t="s">
        <v>698</v>
      </c>
      <c r="B8" s="541">
        <v>16</v>
      </c>
      <c r="C8" s="541">
        <v>12</v>
      </c>
      <c r="D8" s="542">
        <f t="shared" si="0"/>
        <v>-0.25</v>
      </c>
      <c r="E8" s="541">
        <v>15</v>
      </c>
      <c r="F8" s="542">
        <f t="shared" si="1"/>
        <v>0.25</v>
      </c>
      <c r="G8" s="541">
        <v>20</v>
      </c>
      <c r="H8" s="542">
        <f t="shared" si="2"/>
        <v>0.33333333333333331</v>
      </c>
      <c r="I8" s="541">
        <v>20</v>
      </c>
      <c r="J8" s="744">
        <f t="shared" si="3"/>
        <v>0</v>
      </c>
      <c r="K8" s="541">
        <v>18</v>
      </c>
      <c r="L8" s="744">
        <f t="shared" si="4"/>
        <v>-0.1</v>
      </c>
    </row>
    <row r="9" spans="1:14" ht="18" customHeight="1" x14ac:dyDescent="0.3">
      <c r="A9" s="545" t="s">
        <v>1061</v>
      </c>
      <c r="B9" s="541">
        <v>0</v>
      </c>
      <c r="C9" s="541">
        <v>0</v>
      </c>
      <c r="D9" s="542" t="str">
        <f t="shared" si="0"/>
        <v>N/A</v>
      </c>
      <c r="E9" s="541">
        <v>0</v>
      </c>
      <c r="F9" s="542" t="str">
        <f t="shared" si="1"/>
        <v>N/A</v>
      </c>
      <c r="G9" s="541">
        <v>0</v>
      </c>
      <c r="H9" s="542" t="str">
        <f t="shared" si="2"/>
        <v>N/A</v>
      </c>
      <c r="I9" s="541">
        <v>0</v>
      </c>
      <c r="J9" s="744" t="str">
        <f t="shared" si="3"/>
        <v>N/A</v>
      </c>
      <c r="K9" s="541">
        <v>0</v>
      </c>
      <c r="L9" s="744" t="str">
        <f t="shared" si="4"/>
        <v>N/A</v>
      </c>
    </row>
    <row r="10" spans="1:14" ht="18" customHeight="1" x14ac:dyDescent="0.3">
      <c r="A10" s="540" t="s">
        <v>1062</v>
      </c>
      <c r="B10" s="541">
        <v>0</v>
      </c>
      <c r="C10" s="541">
        <v>0</v>
      </c>
      <c r="D10" s="542" t="str">
        <f t="shared" si="0"/>
        <v>N/A</v>
      </c>
      <c r="E10" s="541">
        <v>0</v>
      </c>
      <c r="F10" s="542" t="str">
        <f t="shared" si="1"/>
        <v>N/A</v>
      </c>
      <c r="G10" s="541">
        <v>0</v>
      </c>
      <c r="H10" s="542" t="str">
        <f t="shared" si="2"/>
        <v>N/A</v>
      </c>
      <c r="I10" s="541">
        <v>0</v>
      </c>
      <c r="J10" s="744" t="str">
        <f t="shared" si="3"/>
        <v>N/A</v>
      </c>
      <c r="K10" s="541">
        <v>0</v>
      </c>
      <c r="L10" s="744" t="str">
        <f t="shared" si="4"/>
        <v>N/A</v>
      </c>
    </row>
    <row r="11" spans="1:14" ht="18" customHeight="1" x14ac:dyDescent="0.3">
      <c r="A11" s="540" t="s">
        <v>1067</v>
      </c>
      <c r="B11" s="541">
        <v>0</v>
      </c>
      <c r="C11" s="541">
        <v>0</v>
      </c>
      <c r="D11" s="542" t="str">
        <f t="shared" si="0"/>
        <v>N/A</v>
      </c>
      <c r="E11" s="541">
        <v>0</v>
      </c>
      <c r="F11" s="542" t="str">
        <f t="shared" si="1"/>
        <v>N/A</v>
      </c>
      <c r="G11" s="541">
        <v>0</v>
      </c>
      <c r="H11" s="542" t="str">
        <f t="shared" si="2"/>
        <v>N/A</v>
      </c>
      <c r="I11" s="541">
        <v>0</v>
      </c>
      <c r="J11" s="744" t="str">
        <f t="shared" si="3"/>
        <v>N/A</v>
      </c>
      <c r="K11" s="541">
        <v>0</v>
      </c>
      <c r="L11" s="744" t="str">
        <f t="shared" si="4"/>
        <v>N/A</v>
      </c>
    </row>
    <row r="12" spans="1:14" ht="18" customHeight="1" x14ac:dyDescent="0.3">
      <c r="A12" s="540" t="s">
        <v>1069</v>
      </c>
      <c r="B12" s="541">
        <v>0</v>
      </c>
      <c r="C12" s="541">
        <v>0</v>
      </c>
      <c r="D12" s="542" t="str">
        <f t="shared" si="0"/>
        <v>N/A</v>
      </c>
      <c r="E12" s="541">
        <v>0</v>
      </c>
      <c r="F12" s="542" t="str">
        <f t="shared" si="1"/>
        <v>N/A</v>
      </c>
      <c r="G12" s="541">
        <v>0</v>
      </c>
      <c r="H12" s="542" t="str">
        <f t="shared" si="2"/>
        <v>N/A</v>
      </c>
      <c r="I12" s="541">
        <v>0</v>
      </c>
      <c r="J12" s="744" t="str">
        <f t="shared" si="3"/>
        <v>N/A</v>
      </c>
      <c r="K12" s="541">
        <v>0</v>
      </c>
      <c r="L12" s="744" t="str">
        <f t="shared" si="4"/>
        <v>N/A</v>
      </c>
    </row>
    <row r="13" spans="1:14" ht="18" customHeight="1" x14ac:dyDescent="0.3">
      <c r="A13" s="546" t="s">
        <v>961</v>
      </c>
      <c r="B13" s="541">
        <f>SUM(B6:B12)</f>
        <v>120</v>
      </c>
      <c r="C13" s="541">
        <f>SUM(C6:C12)</f>
        <v>127</v>
      </c>
      <c r="D13" s="542">
        <f t="shared" si="0"/>
        <v>5.8333333333333334E-2</v>
      </c>
      <c r="E13" s="541">
        <f>SUM(E6:E12)</f>
        <v>138</v>
      </c>
      <c r="F13" s="542">
        <f t="shared" si="1"/>
        <v>8.6614173228346455E-2</v>
      </c>
      <c r="G13" s="541">
        <f>SUM(G6:G12)</f>
        <v>163</v>
      </c>
      <c r="H13" s="542">
        <f t="shared" si="2"/>
        <v>0.18115942028985507</v>
      </c>
      <c r="I13" s="541">
        <f>SUM(I6:I12)</f>
        <v>156</v>
      </c>
      <c r="J13" s="744">
        <f t="shared" si="3"/>
        <v>-4.2944785276073622E-2</v>
      </c>
      <c r="K13" s="541">
        <f>SUM(K6:K12)</f>
        <v>149</v>
      </c>
      <c r="L13" s="744">
        <f t="shared" si="4"/>
        <v>-4.4871794871794872E-2</v>
      </c>
    </row>
    <row r="14" spans="1:14" ht="18" customHeight="1" x14ac:dyDescent="0.3">
      <c r="A14" s="536" t="s">
        <v>403</v>
      </c>
      <c r="B14" s="537"/>
      <c r="C14" s="537"/>
      <c r="D14" s="538"/>
      <c r="E14" s="537"/>
      <c r="F14" s="538"/>
      <c r="G14" s="537"/>
      <c r="H14" s="538"/>
      <c r="I14" s="537"/>
      <c r="J14" s="743"/>
      <c r="K14" s="537"/>
      <c r="L14" s="743"/>
    </row>
    <row r="15" spans="1:14" ht="18" customHeight="1" x14ac:dyDescent="0.3">
      <c r="A15" s="547" t="s">
        <v>1082</v>
      </c>
      <c r="B15" s="541">
        <v>6</v>
      </c>
      <c r="C15" s="541">
        <v>16</v>
      </c>
      <c r="D15" s="542">
        <f t="shared" ref="D15:D22" si="5">IF(B15&gt;0,(C15-B15)/B15,(IF(C15=0,"N/A",100%)))</f>
        <v>1.6666666666666667</v>
      </c>
      <c r="E15" s="541">
        <v>24</v>
      </c>
      <c r="F15" s="542">
        <f t="shared" ref="F15:F22" si="6">IF(C15&gt;0,(E15-C15)/C15,(IF(E15=0,"N/A",100%)))</f>
        <v>0.5</v>
      </c>
      <c r="G15" s="541">
        <v>23</v>
      </c>
      <c r="H15" s="542">
        <f t="shared" ref="H15:H22" si="7">IF(E15&gt;0,(G15-E15)/E15,(IF(G15=0,"N/A",100%)))</f>
        <v>-4.1666666666666664E-2</v>
      </c>
      <c r="I15" s="541">
        <v>20</v>
      </c>
      <c r="J15" s="744">
        <f t="shared" ref="J15:J22" si="8">IF(G15&gt;0,(I15-G15)/G15,(IF(I15=0,"N/A",100%)))</f>
        <v>-0.13043478260869565</v>
      </c>
      <c r="K15" s="541">
        <v>16</v>
      </c>
      <c r="L15" s="744">
        <f t="shared" ref="L15:L22" si="9">IF(I15&gt;0,(K15-I15)/I15,(IF(K15=0,"N/A",100%)))</f>
        <v>-0.2</v>
      </c>
    </row>
    <row r="16" spans="1:14" ht="18" customHeight="1" x14ac:dyDescent="0.3">
      <c r="A16" s="540" t="s">
        <v>1083</v>
      </c>
      <c r="B16" s="541">
        <v>1</v>
      </c>
      <c r="C16" s="541">
        <v>0</v>
      </c>
      <c r="D16" s="542">
        <f t="shared" si="5"/>
        <v>-1</v>
      </c>
      <c r="E16" s="541">
        <v>0</v>
      </c>
      <c r="F16" s="542" t="str">
        <f t="shared" si="6"/>
        <v>N/A</v>
      </c>
      <c r="G16" s="541">
        <v>0</v>
      </c>
      <c r="H16" s="542" t="str">
        <f t="shared" si="7"/>
        <v>N/A</v>
      </c>
      <c r="I16" s="541">
        <v>0</v>
      </c>
      <c r="J16" s="744" t="str">
        <f t="shared" si="8"/>
        <v>N/A</v>
      </c>
      <c r="K16" s="541">
        <v>0</v>
      </c>
      <c r="L16" s="744" t="str">
        <f t="shared" si="9"/>
        <v>N/A</v>
      </c>
    </row>
    <row r="17" spans="1:12" ht="18" customHeight="1" x14ac:dyDescent="0.3">
      <c r="A17" s="548" t="s">
        <v>1087</v>
      </c>
      <c r="B17" s="541">
        <v>14</v>
      </c>
      <c r="C17" s="541">
        <v>23</v>
      </c>
      <c r="D17" s="542">
        <f t="shared" si="5"/>
        <v>0.6428571428571429</v>
      </c>
      <c r="E17" s="541">
        <v>24</v>
      </c>
      <c r="F17" s="542">
        <f t="shared" si="6"/>
        <v>4.3478260869565216E-2</v>
      </c>
      <c r="G17" s="541">
        <v>18</v>
      </c>
      <c r="H17" s="542">
        <f t="shared" si="7"/>
        <v>-0.25</v>
      </c>
      <c r="I17" s="541">
        <v>13</v>
      </c>
      <c r="J17" s="744">
        <f t="shared" si="8"/>
        <v>-0.27777777777777779</v>
      </c>
      <c r="K17" s="541">
        <v>19</v>
      </c>
      <c r="L17" s="744">
        <f t="shared" si="9"/>
        <v>0.46153846153846156</v>
      </c>
    </row>
    <row r="18" spans="1:12" ht="18" customHeight="1" x14ac:dyDescent="0.3">
      <c r="A18" s="540" t="s">
        <v>1084</v>
      </c>
      <c r="B18" s="541">
        <v>7</v>
      </c>
      <c r="C18" s="541">
        <v>4</v>
      </c>
      <c r="D18" s="542">
        <f t="shared" si="5"/>
        <v>-0.42857142857142855</v>
      </c>
      <c r="E18" s="541">
        <v>1</v>
      </c>
      <c r="F18" s="542">
        <f t="shared" si="6"/>
        <v>-0.75</v>
      </c>
      <c r="G18" s="541">
        <v>0</v>
      </c>
      <c r="H18" s="542">
        <f t="shared" si="7"/>
        <v>-1</v>
      </c>
      <c r="I18" s="541">
        <v>0</v>
      </c>
      <c r="J18" s="744" t="str">
        <f t="shared" si="8"/>
        <v>N/A</v>
      </c>
      <c r="K18" s="541">
        <v>0</v>
      </c>
      <c r="L18" s="744" t="str">
        <f t="shared" si="9"/>
        <v>N/A</v>
      </c>
    </row>
    <row r="19" spans="1:12" ht="18" customHeight="1" x14ac:dyDescent="0.3">
      <c r="A19" s="540" t="s">
        <v>248</v>
      </c>
      <c r="B19" s="541">
        <v>24</v>
      </c>
      <c r="C19" s="541">
        <v>17</v>
      </c>
      <c r="D19" s="542">
        <f t="shared" si="5"/>
        <v>-0.29166666666666669</v>
      </c>
      <c r="E19" s="541">
        <v>25</v>
      </c>
      <c r="F19" s="542">
        <f t="shared" si="6"/>
        <v>0.47058823529411764</v>
      </c>
      <c r="G19" s="541">
        <v>23</v>
      </c>
      <c r="H19" s="542">
        <f t="shared" si="7"/>
        <v>-0.08</v>
      </c>
      <c r="I19" s="541">
        <v>30</v>
      </c>
      <c r="J19" s="744">
        <f t="shared" si="8"/>
        <v>0.30434782608695654</v>
      </c>
      <c r="K19" s="541">
        <v>38</v>
      </c>
      <c r="L19" s="744">
        <f t="shared" si="9"/>
        <v>0.26666666666666666</v>
      </c>
    </row>
    <row r="20" spans="1:12" ht="18" customHeight="1" x14ac:dyDescent="0.3">
      <c r="A20" s="547" t="s">
        <v>1085</v>
      </c>
      <c r="B20" s="541">
        <v>15</v>
      </c>
      <c r="C20" s="541">
        <v>21</v>
      </c>
      <c r="D20" s="542">
        <f t="shared" si="5"/>
        <v>0.4</v>
      </c>
      <c r="E20" s="541">
        <v>28</v>
      </c>
      <c r="F20" s="542">
        <f t="shared" si="6"/>
        <v>0.33333333333333331</v>
      </c>
      <c r="G20" s="541">
        <v>34</v>
      </c>
      <c r="H20" s="542">
        <f t="shared" si="7"/>
        <v>0.21428571428571427</v>
      </c>
      <c r="I20" s="541">
        <v>28</v>
      </c>
      <c r="J20" s="744">
        <f t="shared" si="8"/>
        <v>-0.17647058823529413</v>
      </c>
      <c r="K20" s="541">
        <v>33</v>
      </c>
      <c r="L20" s="744">
        <f t="shared" si="9"/>
        <v>0.17857142857142858</v>
      </c>
    </row>
    <row r="21" spans="1:12" ht="18" customHeight="1" x14ac:dyDescent="0.3">
      <c r="A21" s="540" t="s">
        <v>1088</v>
      </c>
      <c r="B21" s="541">
        <f>12+19</f>
        <v>31</v>
      </c>
      <c r="C21" s="541">
        <v>29</v>
      </c>
      <c r="D21" s="542">
        <f t="shared" si="5"/>
        <v>-6.4516129032258063E-2</v>
      </c>
      <c r="E21" s="541">
        <v>26</v>
      </c>
      <c r="F21" s="542">
        <f t="shared" si="6"/>
        <v>-0.10344827586206896</v>
      </c>
      <c r="G21" s="541">
        <v>28</v>
      </c>
      <c r="H21" s="542">
        <f t="shared" si="7"/>
        <v>7.6923076923076927E-2</v>
      </c>
      <c r="I21" s="541">
        <v>24</v>
      </c>
      <c r="J21" s="744">
        <f t="shared" si="8"/>
        <v>-0.14285714285714285</v>
      </c>
      <c r="K21" s="541">
        <v>23</v>
      </c>
      <c r="L21" s="744">
        <f t="shared" si="9"/>
        <v>-4.1666666666666664E-2</v>
      </c>
    </row>
    <row r="22" spans="1:12" ht="18" customHeight="1" x14ac:dyDescent="0.3">
      <c r="A22" s="546" t="s">
        <v>961</v>
      </c>
      <c r="B22" s="541">
        <f>SUM(B15:B21)</f>
        <v>98</v>
      </c>
      <c r="C22" s="541">
        <f>SUM(C15:C21)</f>
        <v>110</v>
      </c>
      <c r="D22" s="542">
        <f t="shared" si="5"/>
        <v>0.12244897959183673</v>
      </c>
      <c r="E22" s="541">
        <f>SUM(E15:E21)</f>
        <v>128</v>
      </c>
      <c r="F22" s="542">
        <f t="shared" si="6"/>
        <v>0.16363636363636364</v>
      </c>
      <c r="G22" s="541">
        <f>SUM(G15:G21)</f>
        <v>126</v>
      </c>
      <c r="H22" s="542">
        <f t="shared" si="7"/>
        <v>-1.5625E-2</v>
      </c>
      <c r="I22" s="541">
        <f>SUM(I15:I21)</f>
        <v>115</v>
      </c>
      <c r="J22" s="744">
        <f t="shared" si="8"/>
        <v>-8.7301587301587297E-2</v>
      </c>
      <c r="K22" s="541">
        <f>SUM(K15:K21)</f>
        <v>129</v>
      </c>
      <c r="L22" s="744">
        <f t="shared" si="9"/>
        <v>0.12173913043478261</v>
      </c>
    </row>
    <row r="23" spans="1:12" ht="18" customHeight="1" x14ac:dyDescent="0.3">
      <c r="A23" s="536" t="s">
        <v>404</v>
      </c>
      <c r="B23" s="537"/>
      <c r="C23" s="537"/>
      <c r="D23" s="538"/>
      <c r="E23" s="537"/>
      <c r="F23" s="538"/>
      <c r="G23" s="537"/>
      <c r="H23" s="538"/>
      <c r="I23" s="537"/>
      <c r="J23" s="743"/>
      <c r="K23" s="537"/>
      <c r="L23" s="743"/>
    </row>
    <row r="24" spans="1:12" ht="18" customHeight="1" x14ac:dyDescent="0.3">
      <c r="A24" s="540" t="s">
        <v>996</v>
      </c>
      <c r="B24" s="541">
        <v>112</v>
      </c>
      <c r="C24" s="541">
        <v>126</v>
      </c>
      <c r="D24" s="542">
        <f>IF(B24&gt;0,(C24-B24)/B24,(IF(C24=0,"N/A",100%)))</f>
        <v>0.125</v>
      </c>
      <c r="E24" s="541">
        <v>165</v>
      </c>
      <c r="F24" s="542">
        <f>IF(C24&gt;0,(E24-C24)/C24,(IF(E24=0,"N/A",100%)))</f>
        <v>0.30952380952380953</v>
      </c>
      <c r="G24" s="541">
        <v>175</v>
      </c>
      <c r="H24" s="542">
        <f>IF(E24&gt;0,(G24-E24)/E24,(IF(G24=0,"N/A",100%)))</f>
        <v>6.0606060606060608E-2</v>
      </c>
      <c r="I24" s="541">
        <v>176</v>
      </c>
      <c r="J24" s="744">
        <f>IF(G24&gt;0,(I24-G24)/G24,(IF(I24=0,"N/A",100%)))</f>
        <v>5.7142857142857143E-3</v>
      </c>
      <c r="K24" s="541">
        <v>200</v>
      </c>
      <c r="L24" s="744">
        <f>IF(I24&gt;0,(K24-I24)/I24,(IF(K24=0,"N/A",100%)))</f>
        <v>0.13636363636363635</v>
      </c>
    </row>
    <row r="25" spans="1:12" ht="18" customHeight="1" x14ac:dyDescent="0.3">
      <c r="A25" s="540" t="s">
        <v>1318</v>
      </c>
      <c r="B25" s="541">
        <f>26+25</f>
        <v>51</v>
      </c>
      <c r="C25" s="541">
        <v>35</v>
      </c>
      <c r="D25" s="542">
        <f>IF(B25&gt;0,(C25-B25)/B25,(IF(C25=0,"N/A",100%)))</f>
        <v>-0.31372549019607843</v>
      </c>
      <c r="E25" s="541">
        <v>32</v>
      </c>
      <c r="F25" s="542">
        <f>IF(C25&gt;0,(E25-C25)/C25,(IF(E25=0,"N/A",100%)))</f>
        <v>-8.5714285714285715E-2</v>
      </c>
      <c r="G25" s="541">
        <v>40</v>
      </c>
      <c r="H25" s="542">
        <f>IF(E25&gt;0,(G25-E25)/E25,(IF(G25=0,"N/A",100%)))</f>
        <v>0.25</v>
      </c>
      <c r="I25" s="541">
        <v>51</v>
      </c>
      <c r="J25" s="744">
        <f>IF(G25&gt;0,(I25-G25)/G25,(IF(I25=0,"N/A",100%)))</f>
        <v>0.27500000000000002</v>
      </c>
      <c r="K25" s="541">
        <v>44</v>
      </c>
      <c r="L25" s="744">
        <f>IF(I25&gt;0,(K25-I25)/I25,(IF(K25=0,"N/A",100%)))</f>
        <v>-0.13725490196078433</v>
      </c>
    </row>
    <row r="26" spans="1:12" ht="18" customHeight="1" x14ac:dyDescent="0.3">
      <c r="A26" s="540" t="s">
        <v>1090</v>
      </c>
      <c r="B26" s="541">
        <v>55</v>
      </c>
      <c r="C26" s="541">
        <v>81</v>
      </c>
      <c r="D26" s="542">
        <f>IF(B26&gt;0,(C26-B26)/B26,(IF(C26=0,"N/A",100%)))</f>
        <v>0.47272727272727272</v>
      </c>
      <c r="E26" s="541">
        <v>80</v>
      </c>
      <c r="F26" s="542">
        <f>IF(C26&gt;0,(E26-C26)/C26,(IF(E26=0,"N/A",100%)))</f>
        <v>-1.2345679012345678E-2</v>
      </c>
      <c r="G26" s="541">
        <v>77</v>
      </c>
      <c r="H26" s="542">
        <f>IF(E26&gt;0,(G26-E26)/E26,(IF(G26=0,"N/A",100%)))</f>
        <v>-3.7499999999999999E-2</v>
      </c>
      <c r="I26" s="541">
        <v>72</v>
      </c>
      <c r="J26" s="744">
        <f>IF(G26&gt;0,(I26-G26)/G26,(IF(I26=0,"N/A",100%)))</f>
        <v>-6.4935064935064929E-2</v>
      </c>
      <c r="K26" s="541">
        <v>73</v>
      </c>
      <c r="L26" s="744">
        <f>IF(I26&gt;0,(K26-I26)/I26,(IF(K26=0,"N/A",100%)))</f>
        <v>1.3888888888888888E-2</v>
      </c>
    </row>
    <row r="27" spans="1:12" ht="18" customHeight="1" x14ac:dyDescent="0.3">
      <c r="A27" s="546" t="s">
        <v>961</v>
      </c>
      <c r="B27" s="541">
        <f>SUM(B24:B26)</f>
        <v>218</v>
      </c>
      <c r="C27" s="541">
        <f>SUM(C24:C26)</f>
        <v>242</v>
      </c>
      <c r="D27" s="542">
        <f>IF(B27&gt;0,(C27-B27)/B27,(IF(C27=0,"N/A",100%)))</f>
        <v>0.11009174311926606</v>
      </c>
      <c r="E27" s="541">
        <f>SUM(E24:E26)</f>
        <v>277</v>
      </c>
      <c r="F27" s="542">
        <f>IF(C27&gt;0,(E27-C27)/C27,(IF(E27=0,"N/A",100%)))</f>
        <v>0.14462809917355371</v>
      </c>
      <c r="G27" s="541">
        <f>SUM(G24:G26)</f>
        <v>292</v>
      </c>
      <c r="H27" s="542">
        <f>IF(E27&gt;0,(G27-E27)/E27,(IF(G27=0,"N/A",100%)))</f>
        <v>5.4151624548736461E-2</v>
      </c>
      <c r="I27" s="541">
        <f>SUM(I24:I26)</f>
        <v>299</v>
      </c>
      <c r="J27" s="744">
        <f>IF(G27&gt;0,(I27-G27)/G27,(IF(I27=0,"N/A",100%)))</f>
        <v>2.3972602739726026E-2</v>
      </c>
      <c r="K27" s="541">
        <f>SUM(K24:K26)</f>
        <v>317</v>
      </c>
      <c r="L27" s="744">
        <f>IF(I27&gt;0,(K27-I27)/I27,(IF(K27=0,"N/A",100%)))</f>
        <v>6.0200668896321072E-2</v>
      </c>
    </row>
    <row r="28" spans="1:12" ht="18" customHeight="1" x14ac:dyDescent="0.3">
      <c r="A28" s="536" t="s">
        <v>405</v>
      </c>
      <c r="B28" s="537"/>
      <c r="C28" s="537"/>
      <c r="D28" s="538"/>
      <c r="E28" s="537"/>
      <c r="F28" s="538"/>
      <c r="G28" s="537"/>
      <c r="H28" s="538"/>
      <c r="I28" s="537"/>
      <c r="J28" s="743"/>
      <c r="K28" s="537"/>
      <c r="L28" s="743"/>
    </row>
    <row r="29" spans="1:12" ht="18" customHeight="1" x14ac:dyDescent="0.3">
      <c r="A29" s="540" t="s">
        <v>1058</v>
      </c>
      <c r="B29" s="541">
        <v>47</v>
      </c>
      <c r="C29" s="541">
        <v>48</v>
      </c>
      <c r="D29" s="542">
        <f t="shared" ref="D29:D34" si="10">IF(B29&gt;0,(C29-B29)/B29,(IF(C29=0,"N/A",100%)))</f>
        <v>2.1276595744680851E-2</v>
      </c>
      <c r="E29" s="541">
        <v>58</v>
      </c>
      <c r="F29" s="542">
        <f t="shared" ref="F29:F34" si="11">IF(C29&gt;0,(E29-C29)/C29,(IF(E29=0,"N/A",100%)))</f>
        <v>0.20833333333333334</v>
      </c>
      <c r="G29" s="541">
        <v>63</v>
      </c>
      <c r="H29" s="542">
        <f t="shared" ref="H29:H34" si="12">IF(E29&gt;0,(G29-E29)/E29,(IF(G29=0,"N/A",100%)))</f>
        <v>8.6206896551724144E-2</v>
      </c>
      <c r="I29" s="541">
        <v>63</v>
      </c>
      <c r="J29" s="744">
        <f t="shared" ref="J29:J34" si="13">IF(G29&gt;0,(I29-G29)/G29,(IF(I29=0,"N/A",100%)))</f>
        <v>0</v>
      </c>
      <c r="K29" s="541">
        <v>47</v>
      </c>
      <c r="L29" s="744">
        <f t="shared" ref="L29:L34" si="14">IF(I29&gt;0,(K29-I29)/I29,(IF(K29=0,"N/A",100%)))</f>
        <v>-0.25396825396825395</v>
      </c>
    </row>
    <row r="30" spans="1:12" ht="18" customHeight="1" x14ac:dyDescent="0.3">
      <c r="A30" s="545" t="s">
        <v>1059</v>
      </c>
      <c r="B30" s="541">
        <v>7</v>
      </c>
      <c r="C30" s="541">
        <v>4</v>
      </c>
      <c r="D30" s="542">
        <f t="shared" si="10"/>
        <v>-0.42857142857142855</v>
      </c>
      <c r="E30" s="541">
        <v>3</v>
      </c>
      <c r="F30" s="542">
        <f t="shared" si="11"/>
        <v>-0.25</v>
      </c>
      <c r="G30" s="541">
        <v>2</v>
      </c>
      <c r="H30" s="542">
        <f t="shared" si="12"/>
        <v>-0.33333333333333331</v>
      </c>
      <c r="I30" s="541">
        <v>8</v>
      </c>
      <c r="J30" s="744">
        <f t="shared" si="13"/>
        <v>3</v>
      </c>
      <c r="K30" s="541">
        <v>6</v>
      </c>
      <c r="L30" s="744">
        <f t="shared" si="14"/>
        <v>-0.25</v>
      </c>
    </row>
    <row r="31" spans="1:12" ht="18" customHeight="1" x14ac:dyDescent="0.3">
      <c r="A31" s="540" t="s">
        <v>1060</v>
      </c>
      <c r="B31" s="541">
        <v>10</v>
      </c>
      <c r="C31" s="541">
        <v>13</v>
      </c>
      <c r="D31" s="542">
        <f t="shared" si="10"/>
        <v>0.3</v>
      </c>
      <c r="E31" s="541">
        <v>12</v>
      </c>
      <c r="F31" s="542">
        <f t="shared" si="11"/>
        <v>-7.6923076923076927E-2</v>
      </c>
      <c r="G31" s="541">
        <v>19</v>
      </c>
      <c r="H31" s="542">
        <f t="shared" si="12"/>
        <v>0.58333333333333337</v>
      </c>
      <c r="I31" s="541">
        <v>22</v>
      </c>
      <c r="J31" s="744">
        <f t="shared" si="13"/>
        <v>0.15789473684210525</v>
      </c>
      <c r="K31" s="541">
        <v>17</v>
      </c>
      <c r="L31" s="744">
        <f t="shared" si="14"/>
        <v>-0.22727272727272727</v>
      </c>
    </row>
    <row r="32" spans="1:12" ht="18" customHeight="1" x14ac:dyDescent="0.3">
      <c r="A32" s="540" t="s">
        <v>1068</v>
      </c>
      <c r="B32" s="541">
        <v>0</v>
      </c>
      <c r="C32" s="541">
        <v>0</v>
      </c>
      <c r="D32" s="542" t="str">
        <f t="shared" si="10"/>
        <v>N/A</v>
      </c>
      <c r="E32" s="541">
        <v>0</v>
      </c>
      <c r="F32" s="542" t="str">
        <f t="shared" si="11"/>
        <v>N/A</v>
      </c>
      <c r="G32" s="541">
        <v>0</v>
      </c>
      <c r="H32" s="542" t="str">
        <f t="shared" si="12"/>
        <v>N/A</v>
      </c>
      <c r="I32" s="541">
        <v>0</v>
      </c>
      <c r="J32" s="744" t="str">
        <f t="shared" si="13"/>
        <v>N/A</v>
      </c>
      <c r="K32" s="541">
        <v>0</v>
      </c>
      <c r="L32" s="744" t="str">
        <f t="shared" si="14"/>
        <v>N/A</v>
      </c>
    </row>
    <row r="33" spans="1:12" ht="18" customHeight="1" x14ac:dyDescent="0.3">
      <c r="A33" s="546" t="s">
        <v>961</v>
      </c>
      <c r="B33" s="541">
        <f>SUM(B29:B32)</f>
        <v>64</v>
      </c>
      <c r="C33" s="541">
        <f>SUM(C29:C32)</f>
        <v>65</v>
      </c>
      <c r="D33" s="542">
        <f t="shared" si="10"/>
        <v>1.5625E-2</v>
      </c>
      <c r="E33" s="541">
        <f>SUM(E29:E32)</f>
        <v>73</v>
      </c>
      <c r="F33" s="542">
        <f t="shared" si="11"/>
        <v>0.12307692307692308</v>
      </c>
      <c r="G33" s="541">
        <f>SUM(G29:G32)</f>
        <v>84</v>
      </c>
      <c r="H33" s="542">
        <f t="shared" si="12"/>
        <v>0.15068493150684931</v>
      </c>
      <c r="I33" s="541">
        <f>SUM(I29:I32)</f>
        <v>93</v>
      </c>
      <c r="J33" s="744">
        <f t="shared" si="13"/>
        <v>0.10714285714285714</v>
      </c>
      <c r="K33" s="541">
        <f>SUM(K29:K32)</f>
        <v>70</v>
      </c>
      <c r="L33" s="744">
        <f t="shared" si="14"/>
        <v>-0.24731182795698925</v>
      </c>
    </row>
    <row r="34" spans="1:12" ht="18" customHeight="1" thickBot="1" x14ac:dyDescent="0.35">
      <c r="A34" s="857" t="s">
        <v>406</v>
      </c>
      <c r="B34" s="670">
        <f>+B33+B27+B22+B13</f>
        <v>500</v>
      </c>
      <c r="C34" s="670">
        <f>+C33+C27+C22+C13</f>
        <v>544</v>
      </c>
      <c r="D34" s="1358">
        <f t="shared" si="10"/>
        <v>8.7999999999999995E-2</v>
      </c>
      <c r="E34" s="670">
        <f>+E33+E27+E22+E13</f>
        <v>616</v>
      </c>
      <c r="F34" s="1358">
        <f t="shared" si="11"/>
        <v>0.13235294117647059</v>
      </c>
      <c r="G34" s="670">
        <f>+G33+G27+G22+G13</f>
        <v>665</v>
      </c>
      <c r="H34" s="1358">
        <f t="shared" si="12"/>
        <v>7.9545454545454544E-2</v>
      </c>
      <c r="I34" s="670">
        <f>+I33+I27+I22+I13</f>
        <v>663</v>
      </c>
      <c r="J34" s="1361">
        <f t="shared" si="13"/>
        <v>-3.0075187969924814E-3</v>
      </c>
      <c r="K34" s="670">
        <f>+K33+K27+K22+K13</f>
        <v>665</v>
      </c>
      <c r="L34" s="1361">
        <f t="shared" si="14"/>
        <v>3.0165912518853697E-3</v>
      </c>
    </row>
    <row r="35" spans="1:12" ht="20.25" customHeight="1" thickBot="1" x14ac:dyDescent="0.35">
      <c r="A35" s="1718" t="s">
        <v>407</v>
      </c>
      <c r="B35" s="1719"/>
      <c r="C35" s="1719"/>
      <c r="D35" s="1719"/>
      <c r="E35" s="1719"/>
      <c r="F35" s="1719"/>
      <c r="G35" s="1719"/>
      <c r="H35" s="1719"/>
      <c r="I35" s="1719"/>
      <c r="J35" s="1719"/>
      <c r="K35" s="1719"/>
      <c r="L35" s="1720"/>
    </row>
    <row r="36" spans="1:12" ht="20.25" customHeight="1" x14ac:dyDescent="0.3">
      <c r="A36" s="800" t="s">
        <v>401</v>
      </c>
      <c r="B36" s="673">
        <v>2007</v>
      </c>
      <c r="C36" s="1362">
        <f>B36+1</f>
        <v>2008</v>
      </c>
      <c r="D36" s="802" t="s">
        <v>1046</v>
      </c>
      <c r="E36" s="673">
        <f>C36+1</f>
        <v>2009</v>
      </c>
      <c r="F36" s="801" t="s">
        <v>1046</v>
      </c>
      <c r="G36" s="673">
        <f>E36+1</f>
        <v>2010</v>
      </c>
      <c r="H36" s="802" t="s">
        <v>1046</v>
      </c>
      <c r="I36" s="673">
        <f>G36+1</f>
        <v>2011</v>
      </c>
      <c r="J36" s="803" t="s">
        <v>1046</v>
      </c>
      <c r="K36" s="673">
        <f>I36+1</f>
        <v>2012</v>
      </c>
      <c r="L36" s="803" t="s">
        <v>1046</v>
      </c>
    </row>
    <row r="37" spans="1:12" ht="18" customHeight="1" x14ac:dyDescent="0.3">
      <c r="A37" s="536" t="s">
        <v>408</v>
      </c>
      <c r="B37" s="537"/>
      <c r="C37" s="537"/>
      <c r="D37" s="733"/>
      <c r="E37" s="537"/>
      <c r="F37" s="538"/>
      <c r="G37" s="537"/>
      <c r="H37" s="733"/>
      <c r="I37" s="537"/>
      <c r="J37" s="539"/>
      <c r="K37" s="537"/>
      <c r="L37" s="539"/>
    </row>
    <row r="38" spans="1:12" ht="18" customHeight="1" x14ac:dyDescent="0.3">
      <c r="A38" s="545" t="s">
        <v>1074</v>
      </c>
      <c r="B38" s="541">
        <v>0</v>
      </c>
      <c r="C38" s="541">
        <v>0</v>
      </c>
      <c r="D38" s="734" t="str">
        <f>IF(B38&gt;0,(C38-B38)/B38,(IF(C38=0,"N/A",100%)))</f>
        <v>N/A</v>
      </c>
      <c r="E38" s="541">
        <v>0</v>
      </c>
      <c r="F38" s="542" t="str">
        <f>IF(C38&gt;0,(E38-C38)/C38,(IF(E38=0,"N/A",100%)))</f>
        <v>N/A</v>
      </c>
      <c r="G38" s="541">
        <v>0</v>
      </c>
      <c r="H38" s="734" t="str">
        <f>IF(E38&gt;0,(G38-E38)/E38,(IF(G38=0,"N/A",100%)))</f>
        <v>N/A</v>
      </c>
      <c r="I38" s="541">
        <v>0</v>
      </c>
      <c r="J38" s="544" t="str">
        <f>IF(G38&gt;0,(I38-G38)/G38,(IF(I38=0,"N/A",100%)))</f>
        <v>N/A</v>
      </c>
      <c r="K38" s="541">
        <v>0</v>
      </c>
      <c r="L38" s="544" t="str">
        <f>IF(I38&gt;0,(K38-I38)/I38,(IF(K38=0,"N/A",100%)))</f>
        <v>N/A</v>
      </c>
    </row>
    <row r="39" spans="1:12" ht="18" customHeight="1" x14ac:dyDescent="0.3">
      <c r="A39" s="540" t="s">
        <v>1075</v>
      </c>
      <c r="B39" s="541">
        <f>58+7</f>
        <v>65</v>
      </c>
      <c r="C39" s="541">
        <v>83</v>
      </c>
      <c r="D39" s="734">
        <f>IF(B39&gt;0,(C39-B39)/B39,(IF(C39=0,"N/A",100%)))</f>
        <v>0.27692307692307694</v>
      </c>
      <c r="E39" s="541">
        <v>97</v>
      </c>
      <c r="F39" s="542">
        <f>IF(C39&gt;0,(E39-C39)/C39,(IF(E39=0,"N/A",100%)))</f>
        <v>0.16867469879518071</v>
      </c>
      <c r="G39" s="541">
        <v>100</v>
      </c>
      <c r="H39" s="734">
        <f>IF(E39&gt;0,(G39-E39)/E39,(IF(G39=0,"N/A",100%)))</f>
        <v>3.0927835051546393E-2</v>
      </c>
      <c r="I39" s="541">
        <v>107</v>
      </c>
      <c r="J39" s="544">
        <f>IF(G39&gt;0,(I39-G39)/G39,(IF(I39=0,"N/A",100%)))</f>
        <v>7.0000000000000007E-2</v>
      </c>
      <c r="K39" s="541">
        <v>93</v>
      </c>
      <c r="L39" s="544">
        <f>IF(I39&gt;0,(K39-I39)/I39,(IF(K39=0,"N/A",100%)))</f>
        <v>-0.13084112149532709</v>
      </c>
    </row>
    <row r="40" spans="1:12" ht="18" customHeight="1" x14ac:dyDescent="0.3">
      <c r="A40" s="546" t="s">
        <v>961</v>
      </c>
      <c r="B40" s="541">
        <f>SUM(B38:B39)</f>
        <v>65</v>
      </c>
      <c r="C40" s="541">
        <f>SUM(C38:C39)</f>
        <v>83</v>
      </c>
      <c r="D40" s="734">
        <f>IF(B40&gt;0,(C40-B40)/B40,(IF(C40=0,"N/A",100%)))</f>
        <v>0.27692307692307694</v>
      </c>
      <c r="E40" s="541">
        <f>SUM(E38:E39)</f>
        <v>97</v>
      </c>
      <c r="F40" s="542">
        <f>IF(C40&gt;0,(E40-C40)/C40,(IF(E40=0,"N/A",100%)))</f>
        <v>0.16867469879518071</v>
      </c>
      <c r="G40" s="541">
        <f>SUM(G38:G39)</f>
        <v>100</v>
      </c>
      <c r="H40" s="734">
        <f>IF(E40&gt;0,(G40-E40)/E40,(IF(G40=0,"N/A",100%)))</f>
        <v>3.0927835051546393E-2</v>
      </c>
      <c r="I40" s="541">
        <f>SUM(I38:I39)</f>
        <v>107</v>
      </c>
      <c r="J40" s="544">
        <f>IF(G40&gt;0,(I40-G40)/G40,(IF(I40=0,"N/A",100%)))</f>
        <v>7.0000000000000007E-2</v>
      </c>
      <c r="K40" s="541">
        <f>SUM(K38:K39)</f>
        <v>93</v>
      </c>
      <c r="L40" s="544">
        <f>IF(I40&gt;0,(K40-I40)/I40,(IF(K40=0,"N/A",100%)))</f>
        <v>-0.13084112149532709</v>
      </c>
    </row>
    <row r="41" spans="1:12" ht="18" customHeight="1" x14ac:dyDescent="0.3">
      <c r="A41" s="536" t="s">
        <v>409</v>
      </c>
      <c r="B41" s="537"/>
      <c r="C41" s="537"/>
      <c r="D41" s="733"/>
      <c r="E41" s="537"/>
      <c r="F41" s="538"/>
      <c r="G41" s="537"/>
      <c r="H41" s="733"/>
      <c r="I41" s="537"/>
      <c r="J41" s="539"/>
      <c r="K41" s="537"/>
      <c r="L41" s="539"/>
    </row>
    <row r="42" spans="1:12" ht="18" customHeight="1" x14ac:dyDescent="0.3">
      <c r="A42" s="540" t="s">
        <v>1079</v>
      </c>
      <c r="B42" s="541">
        <v>39</v>
      </c>
      <c r="C42" s="541">
        <v>43</v>
      </c>
      <c r="D42" s="734">
        <f>IF(B42&gt;0,(C42-B42)/B42,(IF(C42=0,"N/A",100%)))</f>
        <v>0.10256410256410256</v>
      </c>
      <c r="E42" s="541">
        <f>31+24</f>
        <v>55</v>
      </c>
      <c r="F42" s="542">
        <f>IF(C42&gt;0,(E42-C42)/C42,(IF(E42=0,"N/A",100%)))</f>
        <v>0.27906976744186046</v>
      </c>
      <c r="G42" s="541">
        <v>62</v>
      </c>
      <c r="H42" s="734">
        <f>IF(E42&gt;0,(G42-E42)/E42,(IF(G42=0,"N/A",100%)))</f>
        <v>0.12727272727272726</v>
      </c>
      <c r="I42" s="541">
        <v>50</v>
      </c>
      <c r="J42" s="544">
        <f>IF(G42&gt;0,(I42-G42)/G42,(IF(I42=0,"N/A",100%)))</f>
        <v>-0.19354838709677419</v>
      </c>
      <c r="K42" s="541">
        <v>44</v>
      </c>
      <c r="L42" s="544">
        <f>IF(I42&gt;0,(K42-I42)/I42,(IF(K42=0,"N/A",100%)))</f>
        <v>-0.12</v>
      </c>
    </row>
    <row r="43" spans="1:12" ht="18" customHeight="1" x14ac:dyDescent="0.3">
      <c r="A43" s="540" t="s">
        <v>817</v>
      </c>
      <c r="B43" s="541">
        <v>0</v>
      </c>
      <c r="C43" s="541">
        <v>0</v>
      </c>
      <c r="D43" s="734" t="str">
        <f>IF(B43&gt;0,(C43-B43)/B43,(IF(C43=0,"N/A",100%)))</f>
        <v>N/A</v>
      </c>
      <c r="E43" s="541">
        <v>0</v>
      </c>
      <c r="F43" s="542" t="str">
        <f>IF(C43&gt;0,(E43-C43)/C43,(IF(E43=0,"N/A",100%)))</f>
        <v>N/A</v>
      </c>
      <c r="G43" s="541">
        <v>0</v>
      </c>
      <c r="H43" s="734" t="str">
        <f>IF(E43&gt;0,(G43-E43)/E43,(IF(G43=0,"N/A",100%)))</f>
        <v>N/A</v>
      </c>
      <c r="I43" s="541">
        <v>0</v>
      </c>
      <c r="J43" s="544" t="str">
        <f>IF(G43&gt;0,(I43-G43)/G43,(IF(I43=0,"N/A",100%)))</f>
        <v>N/A</v>
      </c>
      <c r="K43" s="541">
        <v>18</v>
      </c>
      <c r="L43" s="544">
        <f>IF(I43&gt;0,(K43-I43)/I43,(IF(K43=0,"N/A",100%)))</f>
        <v>1</v>
      </c>
    </row>
    <row r="44" spans="1:12" ht="18" customHeight="1" x14ac:dyDescent="0.3">
      <c r="A44" s="540" t="s">
        <v>1080</v>
      </c>
      <c r="B44" s="541">
        <v>12</v>
      </c>
      <c r="C44" s="541">
        <v>10</v>
      </c>
      <c r="D44" s="734">
        <f>IF(B44&gt;0,(C44-B44)/B44,(IF(C44=0,"N/A",100%)))</f>
        <v>-0.16666666666666666</v>
      </c>
      <c r="E44" s="541">
        <v>8</v>
      </c>
      <c r="F44" s="542">
        <f>IF(C44&gt;0,(E44-C44)/C44,(IF(E44=0,"N/A",100%)))</f>
        <v>-0.2</v>
      </c>
      <c r="G44" s="541">
        <v>11</v>
      </c>
      <c r="H44" s="734">
        <f>IF(E44&gt;0,(G44-E44)/E44,(IF(G44=0,"N/A",100%)))</f>
        <v>0.375</v>
      </c>
      <c r="I44" s="541">
        <v>15</v>
      </c>
      <c r="J44" s="544">
        <f>IF(G44&gt;0,(I44-G44)/G44,(IF(I44=0,"N/A",100%)))</f>
        <v>0.36363636363636365</v>
      </c>
      <c r="K44" s="541">
        <v>14</v>
      </c>
      <c r="L44" s="544">
        <f>IF(I44&gt;0,(K44-I44)/I44,(IF(K44=0,"N/A",100%)))</f>
        <v>-6.6666666666666666E-2</v>
      </c>
    </row>
    <row r="45" spans="1:12" ht="18" customHeight="1" x14ac:dyDescent="0.3">
      <c r="A45" s="546" t="s">
        <v>961</v>
      </c>
      <c r="B45" s="541">
        <f>+B44+B43+B42</f>
        <v>51</v>
      </c>
      <c r="C45" s="541">
        <f>+C44+C43+C42</f>
        <v>53</v>
      </c>
      <c r="D45" s="734">
        <f>IF(B45&gt;0,(C45-B45)/B45,(IF(C45=0,"N/A",100%)))</f>
        <v>3.9215686274509803E-2</v>
      </c>
      <c r="E45" s="541">
        <f>+E44+E43+E42</f>
        <v>63</v>
      </c>
      <c r="F45" s="542">
        <f>IF(C45&gt;0,(E45-C45)/C45,(IF(E45=0,"N/A",100%)))</f>
        <v>0.18867924528301888</v>
      </c>
      <c r="G45" s="541">
        <f>+G44+G43+G42</f>
        <v>73</v>
      </c>
      <c r="H45" s="734">
        <f>IF(E45&gt;0,(G45-E45)/E45,(IF(G45=0,"N/A",100%)))</f>
        <v>0.15873015873015872</v>
      </c>
      <c r="I45" s="541">
        <f>+I44+I43+I42</f>
        <v>65</v>
      </c>
      <c r="J45" s="544">
        <f>IF(G45&gt;0,(I45-G45)/G45,(IF(I45=0,"N/A",100%)))</f>
        <v>-0.1095890410958904</v>
      </c>
      <c r="K45" s="541">
        <f>+K44+K43+K42</f>
        <v>76</v>
      </c>
      <c r="L45" s="544">
        <f>IF(I45&gt;0,(K45-I45)/I45,(IF(K45=0,"N/A",100%)))</f>
        <v>0.16923076923076924</v>
      </c>
    </row>
    <row r="46" spans="1:12" ht="18" customHeight="1" x14ac:dyDescent="0.3">
      <c r="A46" s="536" t="s">
        <v>410</v>
      </c>
      <c r="B46" s="537"/>
      <c r="C46" s="537"/>
      <c r="D46" s="733"/>
      <c r="E46" s="537"/>
      <c r="F46" s="538"/>
      <c r="G46" s="537"/>
      <c r="H46" s="733"/>
      <c r="I46" s="537"/>
      <c r="J46" s="539"/>
      <c r="K46" s="537"/>
      <c r="L46" s="539"/>
    </row>
    <row r="47" spans="1:12" ht="18" customHeight="1" x14ac:dyDescent="0.3">
      <c r="A47" s="540" t="s">
        <v>1076</v>
      </c>
      <c r="B47" s="541">
        <f>34+22</f>
        <v>56</v>
      </c>
      <c r="C47" s="541">
        <v>68</v>
      </c>
      <c r="D47" s="734">
        <f>IF(B47&gt;0,(C47-B47)/B47,(IF(C47=0,"N/A",100%)))</f>
        <v>0.21428571428571427</v>
      </c>
      <c r="E47" s="541">
        <v>83</v>
      </c>
      <c r="F47" s="542">
        <f>IF(C47&gt;0,(E47-C47)/C47,(IF(E47=0,"N/A",100%)))</f>
        <v>0.22058823529411764</v>
      </c>
      <c r="G47" s="541">
        <v>74</v>
      </c>
      <c r="H47" s="734">
        <f>IF(E47&gt;0,(G47-E47)/E47,(IF(G47=0,"N/A",100%)))</f>
        <v>-0.10843373493975904</v>
      </c>
      <c r="I47" s="541">
        <v>75</v>
      </c>
      <c r="J47" s="544">
        <f>IF(G47&gt;0,(I47-G47)/G47,(IF(I47=0,"N/A",100%)))</f>
        <v>1.3513513513513514E-2</v>
      </c>
      <c r="K47" s="541">
        <v>88</v>
      </c>
      <c r="L47" s="544">
        <f>IF(I47&gt;0,(K47-I47)/I47,(IF(K47=0,"N/A",100%)))</f>
        <v>0.17333333333333334</v>
      </c>
    </row>
    <row r="48" spans="1:12" ht="18" customHeight="1" x14ac:dyDescent="0.3">
      <c r="A48" s="540" t="s">
        <v>718</v>
      </c>
      <c r="B48" s="541">
        <v>4</v>
      </c>
      <c r="C48" s="541">
        <v>0</v>
      </c>
      <c r="D48" s="734">
        <f>IF(B48&gt;0,(C48-B48)/B48,(IF(C48=0,"N/A",100%)))</f>
        <v>-1</v>
      </c>
      <c r="E48" s="541">
        <v>0</v>
      </c>
      <c r="F48" s="542" t="str">
        <f>IF(C48&gt;0,(E48-C48)/C48,(IF(E48=0,"N/A",100%)))</f>
        <v>N/A</v>
      </c>
      <c r="G48" s="541">
        <v>1</v>
      </c>
      <c r="H48" s="734">
        <f>IF(E48&gt;0,(G48-E48)/E48,(IF(G48=0,"N/A",100%)))</f>
        <v>1</v>
      </c>
      <c r="I48" s="541">
        <v>0</v>
      </c>
      <c r="J48" s="544">
        <f>IF(G48&gt;0,(I48-G48)/G48,(IF(I48=0,"N/A",100%)))</f>
        <v>-1</v>
      </c>
      <c r="K48" s="541">
        <v>0</v>
      </c>
      <c r="L48" s="544" t="str">
        <f>IF(I48&gt;0,(K48-I48)/I48,(IF(K48=0,"N/A",100%)))</f>
        <v>N/A</v>
      </c>
    </row>
    <row r="49" spans="1:12" ht="18" customHeight="1" x14ac:dyDescent="0.3">
      <c r="A49" s="546" t="s">
        <v>961</v>
      </c>
      <c r="B49" s="541">
        <f>+B48+B47</f>
        <v>60</v>
      </c>
      <c r="C49" s="541">
        <f>+C48+C47</f>
        <v>68</v>
      </c>
      <c r="D49" s="734">
        <f>IF(B49&gt;0,(C49-B49)/B49,(IF(C49=0,"N/A",100%)))</f>
        <v>0.13333333333333333</v>
      </c>
      <c r="E49" s="541">
        <f>+E48+E47</f>
        <v>83</v>
      </c>
      <c r="F49" s="542">
        <f>IF(C49&gt;0,(E49-C49)/C49,(IF(E49=0,"N/A",100%)))</f>
        <v>0.22058823529411764</v>
      </c>
      <c r="G49" s="541">
        <f>+G48+G47</f>
        <v>75</v>
      </c>
      <c r="H49" s="734">
        <f>IF(E49&gt;0,(G49-E49)/E49,(IF(G49=0,"N/A",100%)))</f>
        <v>-9.6385542168674704E-2</v>
      </c>
      <c r="I49" s="541">
        <f>+I48+I47</f>
        <v>75</v>
      </c>
      <c r="J49" s="544">
        <f>IF(G49&gt;0,(I49-G49)/G49,(IF(I49=0,"N/A",100%)))</f>
        <v>0</v>
      </c>
      <c r="K49" s="541">
        <f>+K48+K47</f>
        <v>88</v>
      </c>
      <c r="L49" s="544">
        <f>IF(I49&gt;0,(K49-I49)/I49,(IF(K49=0,"N/A",100%)))</f>
        <v>0.17333333333333334</v>
      </c>
    </row>
    <row r="50" spans="1:12" ht="18" customHeight="1" x14ac:dyDescent="0.3">
      <c r="A50" s="536" t="s">
        <v>411</v>
      </c>
      <c r="B50" s="537"/>
      <c r="C50" s="537"/>
      <c r="D50" s="733"/>
      <c r="E50" s="537"/>
      <c r="F50" s="538"/>
      <c r="G50" s="537"/>
      <c r="H50" s="733"/>
      <c r="I50" s="537"/>
      <c r="J50" s="539"/>
      <c r="K50" s="537"/>
      <c r="L50" s="539"/>
    </row>
    <row r="51" spans="1:12" ht="18" customHeight="1" x14ac:dyDescent="0.3">
      <c r="A51" s="540" t="s">
        <v>1070</v>
      </c>
      <c r="B51" s="541">
        <f>89+7</f>
        <v>96</v>
      </c>
      <c r="C51" s="541">
        <v>107</v>
      </c>
      <c r="D51" s="734">
        <f>IF(B51&gt;0,(C51-B51)/B51,(IF(C51=0,"N/A",100%)))</f>
        <v>0.11458333333333333</v>
      </c>
      <c r="E51" s="541">
        <v>132</v>
      </c>
      <c r="F51" s="542">
        <f>IF(C51&gt;0,(E51-C51)/C51,(IF(E51=0,"N/A",100%)))</f>
        <v>0.23364485981308411</v>
      </c>
      <c r="G51" s="541">
        <v>147</v>
      </c>
      <c r="H51" s="734">
        <f>IF(E51&gt;0,(G51-E51)/E51,(IF(G51=0,"N/A",100%)))</f>
        <v>0.11363636363636363</v>
      </c>
      <c r="I51" s="541">
        <v>143</v>
      </c>
      <c r="J51" s="544">
        <f>IF(G51&gt;0,(I51-G51)/G51,(IF(I51=0,"N/A",100%)))</f>
        <v>-2.7210884353741496E-2</v>
      </c>
      <c r="K51" s="541">
        <v>152</v>
      </c>
      <c r="L51" s="544">
        <f>IF(I51&gt;0,(K51-I51)/I51,(IF(K51=0,"N/A",100%)))</f>
        <v>6.2937062937062943E-2</v>
      </c>
    </row>
    <row r="52" spans="1:12" ht="18" customHeight="1" x14ac:dyDescent="0.3">
      <c r="A52" s="540" t="s">
        <v>1316</v>
      </c>
      <c r="B52" s="541">
        <v>0</v>
      </c>
      <c r="C52" s="541">
        <v>0</v>
      </c>
      <c r="D52" s="734" t="str">
        <f>IF(B52&gt;0,(C52-B52)/B52,(IF(C52=0,"N/A",100%)))</f>
        <v>N/A</v>
      </c>
      <c r="E52" s="541">
        <v>0</v>
      </c>
      <c r="F52" s="542" t="str">
        <f>IF(C52&gt;0,(E52-C52)/C52,(IF(E52=0,"N/A",100%)))</f>
        <v>N/A</v>
      </c>
      <c r="G52" s="541">
        <v>0</v>
      </c>
      <c r="H52" s="734" t="str">
        <f>IF(E52&gt;0,(G52-E52)/E52,(IF(G52=0,"N/A",100%)))</f>
        <v>N/A</v>
      </c>
      <c r="I52" s="541">
        <v>0</v>
      </c>
      <c r="J52" s="544" t="str">
        <f>IF(G52&gt;0,(I52-G52)/G52,(IF(I52=0,"N/A",100%)))</f>
        <v>N/A</v>
      </c>
      <c r="K52" s="541">
        <v>0</v>
      </c>
      <c r="L52" s="544" t="str">
        <f>IF(I52&gt;0,(K52-I52)/I52,(IF(K52=0,"N/A",100%)))</f>
        <v>N/A</v>
      </c>
    </row>
    <row r="53" spans="1:12" ht="18" customHeight="1" x14ac:dyDescent="0.3">
      <c r="A53" s="540" t="s">
        <v>1071</v>
      </c>
      <c r="B53" s="541">
        <v>18</v>
      </c>
      <c r="C53" s="541">
        <v>17</v>
      </c>
      <c r="D53" s="734">
        <f>IF(B53&gt;0,(C53-B53)/B53,(IF(C53=0,"N/A",100%)))</f>
        <v>-5.5555555555555552E-2</v>
      </c>
      <c r="E53" s="541">
        <v>22</v>
      </c>
      <c r="F53" s="542">
        <f>IF(C53&gt;0,(E53-C53)/C53,(IF(E53=0,"N/A",100%)))</f>
        <v>0.29411764705882354</v>
      </c>
      <c r="G53" s="541">
        <v>24</v>
      </c>
      <c r="H53" s="734">
        <f>IF(E53&gt;0,(G53-E53)/E53,(IF(G53=0,"N/A",100%)))</f>
        <v>9.0909090909090912E-2</v>
      </c>
      <c r="I53" s="541">
        <v>17</v>
      </c>
      <c r="J53" s="544">
        <f>IF(G53&gt;0,(I53-G53)/G53,(IF(I53=0,"N/A",100%)))</f>
        <v>-0.29166666666666669</v>
      </c>
      <c r="K53" s="541">
        <v>21</v>
      </c>
      <c r="L53" s="544">
        <f>IF(I53&gt;0,(K53-I53)/I53,(IF(K53=0,"N/A",100%)))</f>
        <v>0.23529411764705882</v>
      </c>
    </row>
    <row r="54" spans="1:12" ht="18" customHeight="1" x14ac:dyDescent="0.3">
      <c r="A54" s="546" t="s">
        <v>961</v>
      </c>
      <c r="B54" s="541">
        <f>SUM(B51:B53)</f>
        <v>114</v>
      </c>
      <c r="C54" s="541">
        <f>SUM(C51:C53)</f>
        <v>124</v>
      </c>
      <c r="D54" s="734">
        <f>IF(B54&gt;0,(C54-B54)/B54,(IF(C54=0,"N/A",100%)))</f>
        <v>8.771929824561403E-2</v>
      </c>
      <c r="E54" s="541">
        <f>SUM(E51:E53)</f>
        <v>154</v>
      </c>
      <c r="F54" s="542">
        <f>IF(C54&gt;0,(E54-C54)/C54,(IF(E54=0,"N/A",100%)))</f>
        <v>0.24193548387096775</v>
      </c>
      <c r="G54" s="541">
        <f>SUM(G51:G53)</f>
        <v>171</v>
      </c>
      <c r="H54" s="734">
        <f>IF(E54&gt;0,(G54-E54)/E54,(IF(G54=0,"N/A",100%)))</f>
        <v>0.11038961038961038</v>
      </c>
      <c r="I54" s="541">
        <f>SUM(I51:I53)</f>
        <v>160</v>
      </c>
      <c r="J54" s="544">
        <f>IF(G54&gt;0,(I54-G54)/G54,(IF(I54=0,"N/A",100%)))</f>
        <v>-6.4327485380116955E-2</v>
      </c>
      <c r="K54" s="541">
        <f>SUM(K51:K53)</f>
        <v>173</v>
      </c>
      <c r="L54" s="544">
        <f>IF(I54&gt;0,(K54-I54)/I54,(IF(K54=0,"N/A",100%)))</f>
        <v>8.1250000000000003E-2</v>
      </c>
    </row>
    <row r="55" spans="1:12" ht="18" customHeight="1" x14ac:dyDescent="0.3">
      <c r="A55" s="536" t="s">
        <v>413</v>
      </c>
      <c r="B55" s="537"/>
      <c r="C55" s="537"/>
      <c r="D55" s="733"/>
      <c r="E55" s="537"/>
      <c r="F55" s="538"/>
      <c r="G55" s="537"/>
      <c r="H55" s="733"/>
      <c r="I55" s="537"/>
      <c r="J55" s="539"/>
      <c r="K55" s="537"/>
      <c r="L55" s="539"/>
    </row>
    <row r="56" spans="1:12" ht="18" customHeight="1" x14ac:dyDescent="0.3">
      <c r="A56" s="540" t="s">
        <v>1072</v>
      </c>
      <c r="B56" s="541">
        <f>19+25</f>
        <v>44</v>
      </c>
      <c r="C56" s="541">
        <v>49</v>
      </c>
      <c r="D56" s="734">
        <f t="shared" ref="D56:D63" si="15">IF(B56&gt;0,(C56-B56)/B56,(IF(C56=0,"N/A",100%)))</f>
        <v>0.11363636363636363</v>
      </c>
      <c r="E56" s="541">
        <v>14</v>
      </c>
      <c r="F56" s="542">
        <f t="shared" ref="F56:F63" si="16">IF(C56&gt;0,(E56-C56)/C56,(IF(E56=0,"N/A",100%)))</f>
        <v>-0.7142857142857143</v>
      </c>
      <c r="G56" s="541">
        <v>19</v>
      </c>
      <c r="H56" s="734">
        <f t="shared" ref="H56:H63" si="17">IF(E56&gt;0,(G56-E56)/E56,(IF(G56=0,"N/A",100%)))</f>
        <v>0.35714285714285715</v>
      </c>
      <c r="I56" s="541">
        <v>19</v>
      </c>
      <c r="J56" s="544">
        <f t="shared" ref="J56:J63" si="18">IF(G56&gt;0,(I56-G56)/G56,(IF(I56=0,"N/A",100%)))</f>
        <v>0</v>
      </c>
      <c r="K56" s="541">
        <v>21</v>
      </c>
      <c r="L56" s="544">
        <f t="shared" ref="L56:L63" si="19">IF(I56&gt;0,(K56-I56)/I56,(IF(K56=0,"N/A",100%)))</f>
        <v>0.10526315789473684</v>
      </c>
    </row>
    <row r="57" spans="1:12" ht="18" customHeight="1" x14ac:dyDescent="0.3">
      <c r="A57" s="540" t="s">
        <v>1534</v>
      </c>
      <c r="B57" s="541"/>
      <c r="C57" s="541"/>
      <c r="D57" s="734" t="str">
        <f t="shared" si="15"/>
        <v>N/A</v>
      </c>
      <c r="E57" s="541"/>
      <c r="F57" s="542" t="str">
        <f t="shared" si="16"/>
        <v>N/A</v>
      </c>
      <c r="G57" s="541"/>
      <c r="H57" s="734" t="str">
        <f t="shared" si="17"/>
        <v>N/A</v>
      </c>
      <c r="I57" s="541"/>
      <c r="J57" s="544" t="str">
        <f t="shared" si="18"/>
        <v>N/A</v>
      </c>
      <c r="K57" s="541">
        <v>2</v>
      </c>
      <c r="L57" s="544">
        <f t="shared" si="19"/>
        <v>1</v>
      </c>
    </row>
    <row r="58" spans="1:12" ht="18" customHeight="1" x14ac:dyDescent="0.3">
      <c r="A58" s="540" t="s">
        <v>1073</v>
      </c>
      <c r="B58" s="541"/>
      <c r="C58" s="541"/>
      <c r="D58" s="734" t="str">
        <f t="shared" si="15"/>
        <v>N/A</v>
      </c>
      <c r="E58" s="541"/>
      <c r="F58" s="542" t="str">
        <f t="shared" si="16"/>
        <v>N/A</v>
      </c>
      <c r="G58" s="541"/>
      <c r="H58" s="734" t="str">
        <f t="shared" si="17"/>
        <v>N/A</v>
      </c>
      <c r="I58" s="541"/>
      <c r="J58" s="544" t="str">
        <f t="shared" si="18"/>
        <v>N/A</v>
      </c>
      <c r="K58" s="541">
        <v>16</v>
      </c>
      <c r="L58" s="544">
        <f t="shared" si="19"/>
        <v>1</v>
      </c>
    </row>
    <row r="59" spans="1:12" ht="18" customHeight="1" x14ac:dyDescent="0.3">
      <c r="A59" s="540" t="s">
        <v>1531</v>
      </c>
      <c r="B59" s="541"/>
      <c r="C59" s="541"/>
      <c r="D59" s="734" t="str">
        <f t="shared" si="15"/>
        <v>N/A</v>
      </c>
      <c r="E59" s="541"/>
      <c r="F59" s="542" t="str">
        <f t="shared" si="16"/>
        <v>N/A</v>
      </c>
      <c r="G59" s="541"/>
      <c r="H59" s="734" t="str">
        <f t="shared" si="17"/>
        <v>N/A</v>
      </c>
      <c r="I59" s="541"/>
      <c r="J59" s="544" t="str">
        <f t="shared" si="18"/>
        <v>N/A</v>
      </c>
      <c r="K59" s="541">
        <v>1</v>
      </c>
      <c r="L59" s="544">
        <f t="shared" si="19"/>
        <v>1</v>
      </c>
    </row>
    <row r="60" spans="1:12" ht="18" customHeight="1" x14ac:dyDescent="0.3">
      <c r="A60" s="540" t="s">
        <v>1532</v>
      </c>
      <c r="B60" s="541"/>
      <c r="C60" s="541"/>
      <c r="D60" s="734" t="str">
        <f t="shared" si="15"/>
        <v>N/A</v>
      </c>
      <c r="E60" s="541"/>
      <c r="F60" s="542" t="str">
        <f t="shared" si="16"/>
        <v>N/A</v>
      </c>
      <c r="G60" s="541"/>
      <c r="H60" s="734" t="str">
        <f t="shared" si="17"/>
        <v>N/A</v>
      </c>
      <c r="I60" s="541"/>
      <c r="J60" s="544" t="str">
        <f t="shared" si="18"/>
        <v>N/A</v>
      </c>
      <c r="K60" s="541">
        <v>4</v>
      </c>
      <c r="L60" s="544">
        <f t="shared" si="19"/>
        <v>1</v>
      </c>
    </row>
    <row r="61" spans="1:12" ht="18" customHeight="1" x14ac:dyDescent="0.3">
      <c r="A61" s="540" t="s">
        <v>1533</v>
      </c>
      <c r="B61" s="541">
        <v>0</v>
      </c>
      <c r="C61" s="541">
        <v>0</v>
      </c>
      <c r="D61" s="734" t="str">
        <f t="shared" si="15"/>
        <v>N/A</v>
      </c>
      <c r="E61" s="541">
        <v>30</v>
      </c>
      <c r="F61" s="542">
        <f t="shared" si="16"/>
        <v>1</v>
      </c>
      <c r="G61" s="541">
        <v>24</v>
      </c>
      <c r="H61" s="734">
        <f t="shared" si="17"/>
        <v>-0.2</v>
      </c>
      <c r="I61" s="541">
        <v>20</v>
      </c>
      <c r="J61" s="544">
        <f t="shared" si="18"/>
        <v>-0.16666666666666666</v>
      </c>
      <c r="K61" s="541">
        <v>1</v>
      </c>
      <c r="L61" s="544">
        <f t="shared" si="19"/>
        <v>-0.95</v>
      </c>
    </row>
    <row r="62" spans="1:12" ht="18" customHeight="1" x14ac:dyDescent="0.3">
      <c r="A62" s="546" t="s">
        <v>961</v>
      </c>
      <c r="B62" s="541">
        <f>SUM(B56:B61)</f>
        <v>44</v>
      </c>
      <c r="C62" s="541">
        <f>SUM(C56:C61)</f>
        <v>49</v>
      </c>
      <c r="D62" s="734">
        <f t="shared" si="15"/>
        <v>0.11363636363636363</v>
      </c>
      <c r="E62" s="541">
        <f>SUM(E56:E61)</f>
        <v>44</v>
      </c>
      <c r="F62" s="542">
        <f t="shared" si="16"/>
        <v>-0.10204081632653061</v>
      </c>
      <c r="G62" s="541">
        <f>SUM(G56:G61)</f>
        <v>43</v>
      </c>
      <c r="H62" s="734">
        <f t="shared" si="17"/>
        <v>-2.2727272727272728E-2</v>
      </c>
      <c r="I62" s="541">
        <f>SUM(I56:I61)</f>
        <v>39</v>
      </c>
      <c r="J62" s="544">
        <f t="shared" si="18"/>
        <v>-9.3023255813953487E-2</v>
      </c>
      <c r="K62" s="541">
        <f>SUM(K56:K61)</f>
        <v>45</v>
      </c>
      <c r="L62" s="544">
        <f t="shared" si="19"/>
        <v>0.15384615384615385</v>
      </c>
    </row>
    <row r="63" spans="1:12" ht="18" customHeight="1" thickBot="1" x14ac:dyDescent="0.35">
      <c r="A63" s="857" t="s">
        <v>414</v>
      </c>
      <c r="B63" s="670">
        <f>+B62+B54+B49+B45+B40</f>
        <v>334</v>
      </c>
      <c r="C63" s="670">
        <f>+C62+C54+C49+C45+C40</f>
        <v>377</v>
      </c>
      <c r="D63" s="1359">
        <f t="shared" si="15"/>
        <v>0.12874251497005987</v>
      </c>
      <c r="E63" s="670">
        <f>+E62+E54+E49+E45+E40</f>
        <v>441</v>
      </c>
      <c r="F63" s="1359">
        <f t="shared" si="16"/>
        <v>0.16976127320954906</v>
      </c>
      <c r="G63" s="670">
        <f>+G62+G54+G49+G45+G40</f>
        <v>462</v>
      </c>
      <c r="H63" s="1359">
        <f t="shared" si="17"/>
        <v>4.7619047619047616E-2</v>
      </c>
      <c r="I63" s="670">
        <f>+I62+I54+I49+I45+I40</f>
        <v>446</v>
      </c>
      <c r="J63" s="1360">
        <f t="shared" si="18"/>
        <v>-3.4632034632034632E-2</v>
      </c>
      <c r="K63" s="670">
        <f>+K62+K54+K49+K45+K40</f>
        <v>475</v>
      </c>
      <c r="L63" s="1360">
        <f t="shared" si="19"/>
        <v>6.5022421524663671E-2</v>
      </c>
    </row>
    <row r="64" spans="1:12" ht="20.25" customHeight="1" thickBot="1" x14ac:dyDescent="0.35">
      <c r="A64" s="1718" t="s">
        <v>415</v>
      </c>
      <c r="B64" s="1719"/>
      <c r="C64" s="1719"/>
      <c r="D64" s="1719"/>
      <c r="E64" s="1719"/>
      <c r="F64" s="1719"/>
      <c r="G64" s="1719"/>
      <c r="H64" s="1719"/>
      <c r="I64" s="1719"/>
      <c r="J64" s="1719"/>
      <c r="K64" s="1719"/>
      <c r="L64" s="1720"/>
    </row>
    <row r="65" spans="1:12" ht="20.25" customHeight="1" x14ac:dyDescent="0.3">
      <c r="A65" s="800" t="s">
        <v>401</v>
      </c>
      <c r="B65" s="673">
        <v>2007</v>
      </c>
      <c r="C65" s="673">
        <f>B65+1</f>
        <v>2008</v>
      </c>
      <c r="D65" s="802" t="s">
        <v>1046</v>
      </c>
      <c r="E65" s="673">
        <f>C65+1</f>
        <v>2009</v>
      </c>
      <c r="F65" s="801" t="s">
        <v>1046</v>
      </c>
      <c r="G65" s="673">
        <f>E65+1</f>
        <v>2010</v>
      </c>
      <c r="H65" s="802" t="s">
        <v>1046</v>
      </c>
      <c r="I65" s="673">
        <f>G65+1</f>
        <v>2011</v>
      </c>
      <c r="J65" s="803" t="s">
        <v>1046</v>
      </c>
      <c r="K65" s="673">
        <f>I65+1</f>
        <v>2012</v>
      </c>
      <c r="L65" s="803" t="s">
        <v>1046</v>
      </c>
    </row>
    <row r="66" spans="1:12" ht="18" customHeight="1" x14ac:dyDescent="0.3">
      <c r="A66" s="536" t="s">
        <v>970</v>
      </c>
      <c r="B66" s="537"/>
      <c r="C66" s="537"/>
      <c r="D66" s="733"/>
      <c r="E66" s="537"/>
      <c r="F66" s="538"/>
      <c r="G66" s="537"/>
      <c r="H66" s="733"/>
      <c r="I66" s="537"/>
      <c r="J66" s="539"/>
      <c r="K66" s="537"/>
      <c r="L66" s="539"/>
    </row>
    <row r="67" spans="1:12" ht="18" customHeight="1" x14ac:dyDescent="0.3">
      <c r="A67" s="540" t="s">
        <v>1113</v>
      </c>
      <c r="B67" s="541">
        <v>10</v>
      </c>
      <c r="C67" s="541">
        <v>17</v>
      </c>
      <c r="D67" s="734">
        <f t="shared" ref="D67:D81" si="20">IF(B67&gt;0,(C67-B67)/B67,(IF(C67=0,"N/A",100%)))</f>
        <v>0.7</v>
      </c>
      <c r="E67" s="541">
        <v>5</v>
      </c>
      <c r="F67" s="542">
        <f t="shared" ref="F67:F81" si="21">IF(C67&gt;0,(E67-C67)/C67,(IF(E67=0,"N/A",100%)))</f>
        <v>-0.70588235294117652</v>
      </c>
      <c r="G67" s="541">
        <v>13</v>
      </c>
      <c r="H67" s="734">
        <f t="shared" ref="H67:H81" si="22">IF(E67&gt;0,(G67-E67)/E67,(IF(G67=0,"N/A",100%)))</f>
        <v>1.6</v>
      </c>
      <c r="I67" s="541">
        <v>5</v>
      </c>
      <c r="J67" s="544">
        <f t="shared" ref="J67:J81" si="23">IF(G67&gt;0,(I67-G67)/G67,(IF(I67=0,"N/A",100%)))</f>
        <v>-0.61538461538461542</v>
      </c>
      <c r="K67" s="541">
        <v>7</v>
      </c>
      <c r="L67" s="544">
        <f t="shared" ref="L67:L81" si="24">IF(I67&gt;0,(K67-I67)/I67,(IF(K67=0,"N/A",100%)))</f>
        <v>0.4</v>
      </c>
    </row>
    <row r="68" spans="1:12" ht="18" customHeight="1" x14ac:dyDescent="0.3">
      <c r="A68" s="540" t="s">
        <v>1114</v>
      </c>
      <c r="B68" s="541">
        <v>145</v>
      </c>
      <c r="C68" s="541">
        <v>142</v>
      </c>
      <c r="D68" s="734">
        <f t="shared" si="20"/>
        <v>-2.0689655172413793E-2</v>
      </c>
      <c r="E68" s="541">
        <v>162</v>
      </c>
      <c r="F68" s="542">
        <f t="shared" si="21"/>
        <v>0.14084507042253522</v>
      </c>
      <c r="G68" s="541">
        <v>160</v>
      </c>
      <c r="H68" s="734">
        <f t="shared" si="22"/>
        <v>-1.2345679012345678E-2</v>
      </c>
      <c r="I68" s="541">
        <v>157</v>
      </c>
      <c r="J68" s="544">
        <f t="shared" si="23"/>
        <v>-1.8749999999999999E-2</v>
      </c>
      <c r="K68" s="541">
        <v>142</v>
      </c>
      <c r="L68" s="544">
        <f t="shared" si="24"/>
        <v>-9.5541401273885357E-2</v>
      </c>
    </row>
    <row r="69" spans="1:12" ht="18" customHeight="1" x14ac:dyDescent="0.3">
      <c r="A69" s="540" t="s">
        <v>512</v>
      </c>
      <c r="B69" s="541">
        <v>5</v>
      </c>
      <c r="C69" s="541">
        <v>6</v>
      </c>
      <c r="D69" s="734">
        <f t="shared" si="20"/>
        <v>0.2</v>
      </c>
      <c r="E69" s="541">
        <v>5</v>
      </c>
      <c r="F69" s="542">
        <f t="shared" si="21"/>
        <v>-0.16666666666666666</v>
      </c>
      <c r="G69" s="541">
        <v>2</v>
      </c>
      <c r="H69" s="734">
        <f t="shared" si="22"/>
        <v>-0.6</v>
      </c>
      <c r="I69" s="541">
        <v>5</v>
      </c>
      <c r="J69" s="544">
        <f t="shared" si="23"/>
        <v>1.5</v>
      </c>
      <c r="K69" s="541">
        <v>7</v>
      </c>
      <c r="L69" s="544">
        <f t="shared" si="24"/>
        <v>0.4</v>
      </c>
    </row>
    <row r="70" spans="1:12" ht="18" customHeight="1" x14ac:dyDescent="0.3">
      <c r="A70" s="540" t="s">
        <v>1115</v>
      </c>
      <c r="B70" s="541">
        <v>138</v>
      </c>
      <c r="C70" s="541">
        <v>142</v>
      </c>
      <c r="D70" s="734">
        <f t="shared" si="20"/>
        <v>2.8985507246376812E-2</v>
      </c>
      <c r="E70" s="541">
        <v>180</v>
      </c>
      <c r="F70" s="542">
        <f t="shared" si="21"/>
        <v>0.26760563380281688</v>
      </c>
      <c r="G70" s="541">
        <v>135</v>
      </c>
      <c r="H70" s="734">
        <f t="shared" si="22"/>
        <v>-0.25</v>
      </c>
      <c r="I70" s="541">
        <v>112</v>
      </c>
      <c r="J70" s="544">
        <f t="shared" si="23"/>
        <v>-0.17037037037037037</v>
      </c>
      <c r="K70" s="541">
        <v>107</v>
      </c>
      <c r="L70" s="544">
        <f t="shared" si="24"/>
        <v>-4.4642857142857144E-2</v>
      </c>
    </row>
    <row r="71" spans="1:12" ht="18" customHeight="1" x14ac:dyDescent="0.3">
      <c r="A71" s="540" t="s">
        <v>1116</v>
      </c>
      <c r="B71" s="541">
        <v>17</v>
      </c>
      <c r="C71" s="541">
        <v>17</v>
      </c>
      <c r="D71" s="734">
        <f t="shared" si="20"/>
        <v>0</v>
      </c>
      <c r="E71" s="541">
        <v>2</v>
      </c>
      <c r="F71" s="542">
        <f t="shared" si="21"/>
        <v>-0.88235294117647056</v>
      </c>
      <c r="G71" s="541">
        <v>1</v>
      </c>
      <c r="H71" s="734">
        <f t="shared" si="22"/>
        <v>-0.5</v>
      </c>
      <c r="I71" s="541">
        <v>2</v>
      </c>
      <c r="J71" s="544">
        <f t="shared" si="23"/>
        <v>1</v>
      </c>
      <c r="K71" s="541">
        <v>0</v>
      </c>
      <c r="L71" s="544">
        <f t="shared" si="24"/>
        <v>-1</v>
      </c>
    </row>
    <row r="72" spans="1:12" ht="18" customHeight="1" x14ac:dyDescent="0.3">
      <c r="A72" s="540" t="s">
        <v>818</v>
      </c>
      <c r="B72" s="541">
        <v>0</v>
      </c>
      <c r="C72" s="541">
        <v>7</v>
      </c>
      <c r="D72" s="734">
        <f t="shared" si="20"/>
        <v>1</v>
      </c>
      <c r="E72" s="541">
        <v>10</v>
      </c>
      <c r="F72" s="542">
        <f t="shared" si="21"/>
        <v>0.42857142857142855</v>
      </c>
      <c r="G72" s="541">
        <v>8</v>
      </c>
      <c r="H72" s="734">
        <f t="shared" si="22"/>
        <v>-0.2</v>
      </c>
      <c r="I72" s="541">
        <v>8</v>
      </c>
      <c r="J72" s="544">
        <f t="shared" si="23"/>
        <v>0</v>
      </c>
      <c r="K72" s="541">
        <v>1</v>
      </c>
      <c r="L72" s="544">
        <f t="shared" si="24"/>
        <v>-0.875</v>
      </c>
    </row>
    <row r="73" spans="1:12" ht="18" customHeight="1" x14ac:dyDescent="0.3">
      <c r="A73" s="540" t="s">
        <v>1526</v>
      </c>
      <c r="B73" s="541">
        <v>0</v>
      </c>
      <c r="C73" s="541">
        <v>0</v>
      </c>
      <c r="D73" s="734" t="str">
        <f t="shared" si="20"/>
        <v>N/A</v>
      </c>
      <c r="E73" s="541">
        <v>0</v>
      </c>
      <c r="F73" s="542" t="str">
        <f t="shared" si="21"/>
        <v>N/A</v>
      </c>
      <c r="G73" s="541">
        <v>0</v>
      </c>
      <c r="H73" s="734" t="str">
        <f t="shared" si="22"/>
        <v>N/A</v>
      </c>
      <c r="I73" s="541">
        <v>0</v>
      </c>
      <c r="J73" s="544" t="str">
        <f t="shared" si="23"/>
        <v>N/A</v>
      </c>
      <c r="K73" s="541">
        <v>7</v>
      </c>
      <c r="L73" s="544">
        <f t="shared" si="24"/>
        <v>1</v>
      </c>
    </row>
    <row r="74" spans="1:12" ht="18" customHeight="1" x14ac:dyDescent="0.3">
      <c r="A74" s="540" t="s">
        <v>1527</v>
      </c>
      <c r="B74" s="541">
        <v>0</v>
      </c>
      <c r="C74" s="541">
        <v>0</v>
      </c>
      <c r="D74" s="734" t="str">
        <f t="shared" si="20"/>
        <v>N/A</v>
      </c>
      <c r="E74" s="541">
        <v>0</v>
      </c>
      <c r="F74" s="542" t="str">
        <f t="shared" si="21"/>
        <v>N/A</v>
      </c>
      <c r="G74" s="541">
        <v>0</v>
      </c>
      <c r="H74" s="734" t="str">
        <f t="shared" si="22"/>
        <v>N/A</v>
      </c>
      <c r="I74" s="541">
        <v>0</v>
      </c>
      <c r="J74" s="544" t="str">
        <f t="shared" si="23"/>
        <v>N/A</v>
      </c>
      <c r="K74" s="541">
        <v>9</v>
      </c>
      <c r="L74" s="544">
        <f t="shared" si="24"/>
        <v>1</v>
      </c>
    </row>
    <row r="75" spans="1:12" ht="18" customHeight="1" x14ac:dyDescent="0.3">
      <c r="A75" s="540" t="s">
        <v>1528</v>
      </c>
      <c r="B75" s="541">
        <v>0</v>
      </c>
      <c r="C75" s="541">
        <v>0</v>
      </c>
      <c r="D75" s="734" t="str">
        <f t="shared" si="20"/>
        <v>N/A</v>
      </c>
      <c r="E75" s="541">
        <v>0</v>
      </c>
      <c r="F75" s="542" t="str">
        <f t="shared" si="21"/>
        <v>N/A</v>
      </c>
      <c r="G75" s="541">
        <v>0</v>
      </c>
      <c r="H75" s="734" t="str">
        <f t="shared" si="22"/>
        <v>N/A</v>
      </c>
      <c r="I75" s="541">
        <v>0</v>
      </c>
      <c r="J75" s="544" t="str">
        <f t="shared" si="23"/>
        <v>N/A</v>
      </c>
      <c r="K75" s="541">
        <v>6</v>
      </c>
      <c r="L75" s="544">
        <f t="shared" si="24"/>
        <v>1</v>
      </c>
    </row>
    <row r="76" spans="1:12" ht="18" customHeight="1" x14ac:dyDescent="0.3">
      <c r="A76" s="540" t="s">
        <v>1529</v>
      </c>
      <c r="B76" s="541">
        <v>0</v>
      </c>
      <c r="C76" s="541">
        <v>0</v>
      </c>
      <c r="D76" s="734" t="str">
        <f t="shared" si="20"/>
        <v>N/A</v>
      </c>
      <c r="E76" s="541">
        <v>0</v>
      </c>
      <c r="F76" s="542" t="str">
        <f t="shared" si="21"/>
        <v>N/A</v>
      </c>
      <c r="G76" s="541">
        <v>0</v>
      </c>
      <c r="H76" s="734" t="str">
        <f t="shared" si="22"/>
        <v>N/A</v>
      </c>
      <c r="I76" s="541">
        <v>0</v>
      </c>
      <c r="J76" s="544" t="str">
        <f t="shared" si="23"/>
        <v>N/A</v>
      </c>
      <c r="K76" s="541">
        <v>2</v>
      </c>
      <c r="L76" s="544">
        <f t="shared" si="24"/>
        <v>1</v>
      </c>
    </row>
    <row r="77" spans="1:12" ht="18" customHeight="1" x14ac:dyDescent="0.3">
      <c r="A77" s="540" t="s">
        <v>1530</v>
      </c>
      <c r="B77" s="541">
        <v>0</v>
      </c>
      <c r="C77" s="541">
        <v>0</v>
      </c>
      <c r="D77" s="734" t="str">
        <f t="shared" si="20"/>
        <v>N/A</v>
      </c>
      <c r="E77" s="541">
        <v>0</v>
      </c>
      <c r="F77" s="542" t="str">
        <f t="shared" si="21"/>
        <v>N/A</v>
      </c>
      <c r="G77" s="541">
        <v>0</v>
      </c>
      <c r="H77" s="734" t="str">
        <f t="shared" si="22"/>
        <v>N/A</v>
      </c>
      <c r="I77" s="541">
        <v>0</v>
      </c>
      <c r="J77" s="544" t="str">
        <f t="shared" si="23"/>
        <v>N/A</v>
      </c>
      <c r="K77" s="541">
        <v>6</v>
      </c>
      <c r="L77" s="544">
        <f t="shared" si="24"/>
        <v>1</v>
      </c>
    </row>
    <row r="78" spans="1:12" ht="18" customHeight="1" x14ac:dyDescent="0.3">
      <c r="A78" s="540" t="s">
        <v>867</v>
      </c>
      <c r="B78" s="541">
        <v>0</v>
      </c>
      <c r="C78" s="541">
        <v>0</v>
      </c>
      <c r="D78" s="734" t="str">
        <f t="shared" si="20"/>
        <v>N/A</v>
      </c>
      <c r="E78" s="541">
        <v>0</v>
      </c>
      <c r="F78" s="542" t="str">
        <f t="shared" si="21"/>
        <v>N/A</v>
      </c>
      <c r="G78" s="541">
        <v>0</v>
      </c>
      <c r="H78" s="734" t="str">
        <f t="shared" si="22"/>
        <v>N/A</v>
      </c>
      <c r="I78" s="541">
        <v>0</v>
      </c>
      <c r="J78" s="544" t="str">
        <f t="shared" si="23"/>
        <v>N/A</v>
      </c>
      <c r="K78" s="541">
        <v>0</v>
      </c>
      <c r="L78" s="544" t="str">
        <f t="shared" si="24"/>
        <v>N/A</v>
      </c>
    </row>
    <row r="79" spans="1:12" ht="18" customHeight="1" x14ac:dyDescent="0.3">
      <c r="A79" s="540" t="s">
        <v>1117</v>
      </c>
      <c r="B79" s="541">
        <v>45</v>
      </c>
      <c r="C79" s="541">
        <v>48</v>
      </c>
      <c r="D79" s="734">
        <f t="shared" si="20"/>
        <v>6.6666666666666666E-2</v>
      </c>
      <c r="E79" s="541">
        <v>45</v>
      </c>
      <c r="F79" s="542">
        <f t="shared" si="21"/>
        <v>-6.25E-2</v>
      </c>
      <c r="G79" s="541">
        <v>52</v>
      </c>
      <c r="H79" s="734">
        <f t="shared" si="22"/>
        <v>0.15555555555555556</v>
      </c>
      <c r="I79" s="541">
        <v>64</v>
      </c>
      <c r="J79" s="544">
        <f t="shared" si="23"/>
        <v>0.23076923076923078</v>
      </c>
      <c r="K79" s="541">
        <v>62</v>
      </c>
      <c r="L79" s="544">
        <f t="shared" si="24"/>
        <v>-3.125E-2</v>
      </c>
    </row>
    <row r="80" spans="1:12" ht="18" customHeight="1" x14ac:dyDescent="0.3">
      <c r="A80" s="540" t="s">
        <v>1118</v>
      </c>
      <c r="B80" s="541">
        <v>21</v>
      </c>
      <c r="C80" s="541">
        <v>33</v>
      </c>
      <c r="D80" s="734">
        <f t="shared" si="20"/>
        <v>0.5714285714285714</v>
      </c>
      <c r="E80" s="541">
        <v>32</v>
      </c>
      <c r="F80" s="542">
        <f t="shared" si="21"/>
        <v>-3.0303030303030304E-2</v>
      </c>
      <c r="G80" s="541">
        <v>42</v>
      </c>
      <c r="H80" s="734">
        <f t="shared" si="22"/>
        <v>0.3125</v>
      </c>
      <c r="I80" s="541">
        <v>16</v>
      </c>
      <c r="J80" s="544">
        <f t="shared" si="23"/>
        <v>-0.61904761904761907</v>
      </c>
      <c r="K80" s="541">
        <v>42</v>
      </c>
      <c r="L80" s="544">
        <f t="shared" si="24"/>
        <v>1.625</v>
      </c>
    </row>
    <row r="81" spans="1:12" ht="18" customHeight="1" x14ac:dyDescent="0.3">
      <c r="A81" s="546" t="s">
        <v>961</v>
      </c>
      <c r="B81" s="541">
        <f>SUM(B67:B80)</f>
        <v>381</v>
      </c>
      <c r="C81" s="541">
        <f>SUM(C67:C80)</f>
        <v>412</v>
      </c>
      <c r="D81" s="734">
        <f t="shared" si="20"/>
        <v>8.1364829396325458E-2</v>
      </c>
      <c r="E81" s="541">
        <f>SUM(E67:E80)</f>
        <v>441</v>
      </c>
      <c r="F81" s="542">
        <f t="shared" si="21"/>
        <v>7.0388349514563103E-2</v>
      </c>
      <c r="G81" s="541">
        <f>SUM(G67:G80)</f>
        <v>413</v>
      </c>
      <c r="H81" s="734">
        <f t="shared" si="22"/>
        <v>-6.3492063492063489E-2</v>
      </c>
      <c r="I81" s="541">
        <f>SUM(I67:I80)</f>
        <v>369</v>
      </c>
      <c r="J81" s="544">
        <f t="shared" si="23"/>
        <v>-0.10653753026634383</v>
      </c>
      <c r="K81" s="541">
        <f>SUM(K67:K80)</f>
        <v>398</v>
      </c>
      <c r="L81" s="544">
        <f t="shared" si="24"/>
        <v>7.8590785907859076E-2</v>
      </c>
    </row>
    <row r="82" spans="1:12" ht="18" customHeight="1" x14ac:dyDescent="0.3">
      <c r="A82" s="536" t="s">
        <v>416</v>
      </c>
      <c r="B82" s="537"/>
      <c r="C82" s="537"/>
      <c r="D82" s="733"/>
      <c r="E82" s="537"/>
      <c r="F82" s="538"/>
      <c r="G82" s="537"/>
      <c r="H82" s="733"/>
      <c r="I82" s="537"/>
      <c r="J82" s="539"/>
      <c r="K82" s="537"/>
      <c r="L82" s="539"/>
    </row>
    <row r="83" spans="1:12" ht="18" customHeight="1" x14ac:dyDescent="0.3">
      <c r="A83" s="540" t="s">
        <v>579</v>
      </c>
      <c r="B83" s="541">
        <f>39+1</f>
        <v>40</v>
      </c>
      <c r="C83" s="541">
        <v>42</v>
      </c>
      <c r="D83" s="734">
        <f t="shared" ref="D83:D89" si="25">IF(B83&gt;0,(C83-B83)/B83,(IF(C83=0,"N/A",100%)))</f>
        <v>0.05</v>
      </c>
      <c r="E83" s="541">
        <v>46</v>
      </c>
      <c r="F83" s="542">
        <f t="shared" ref="F83:F89" si="26">IF(C83&gt;0,(E83-C83)/C83,(IF(E83=0,"N/A",100%)))</f>
        <v>9.5238095238095233E-2</v>
      </c>
      <c r="G83" s="541">
        <v>49</v>
      </c>
      <c r="H83" s="734">
        <f t="shared" ref="H83:H89" si="27">IF(E83&gt;0,(G83-E83)/E83,(IF(G83=0,"N/A",100%)))</f>
        <v>6.5217391304347824E-2</v>
      </c>
      <c r="I83" s="541">
        <v>53</v>
      </c>
      <c r="J83" s="544">
        <f t="shared" ref="J83:J89" si="28">IF(G83&gt;0,(I83-G83)/G83,(IF(I83=0,"N/A",100%)))</f>
        <v>8.1632653061224483E-2</v>
      </c>
      <c r="K83" s="541">
        <v>46</v>
      </c>
      <c r="L83" s="544">
        <f t="shared" ref="L83:L89" si="29">IF(I83&gt;0,(K83-I83)/I83,(IF(K83=0,"N/A",100%)))</f>
        <v>-0.13207547169811321</v>
      </c>
    </row>
    <row r="84" spans="1:12" ht="18" customHeight="1" x14ac:dyDescent="0.3">
      <c r="A84" s="540" t="s">
        <v>1144</v>
      </c>
      <c r="B84" s="541">
        <v>102</v>
      </c>
      <c r="C84" s="541">
        <v>127</v>
      </c>
      <c r="D84" s="734">
        <f t="shared" si="25"/>
        <v>0.24509803921568626</v>
      </c>
      <c r="E84" s="541">
        <v>143</v>
      </c>
      <c r="F84" s="542">
        <f t="shared" si="26"/>
        <v>0.12598425196850394</v>
      </c>
      <c r="G84" s="541">
        <v>192</v>
      </c>
      <c r="H84" s="734">
        <f t="shared" si="27"/>
        <v>0.34265734265734266</v>
      </c>
      <c r="I84" s="541">
        <v>182</v>
      </c>
      <c r="J84" s="544">
        <f t="shared" si="28"/>
        <v>-5.2083333333333336E-2</v>
      </c>
      <c r="K84" s="541">
        <v>198</v>
      </c>
      <c r="L84" s="544">
        <f t="shared" si="29"/>
        <v>8.7912087912087919E-2</v>
      </c>
    </row>
    <row r="85" spans="1:12" ht="18" customHeight="1" x14ac:dyDescent="0.3">
      <c r="A85" s="540" t="s">
        <v>1095</v>
      </c>
      <c r="B85" s="541">
        <v>0</v>
      </c>
      <c r="C85" s="541">
        <v>0</v>
      </c>
      <c r="D85" s="734" t="str">
        <f t="shared" si="25"/>
        <v>N/A</v>
      </c>
      <c r="E85" s="541">
        <v>0</v>
      </c>
      <c r="F85" s="542" t="str">
        <f t="shared" si="26"/>
        <v>N/A</v>
      </c>
      <c r="G85" s="541">
        <v>0</v>
      </c>
      <c r="H85" s="734" t="str">
        <f t="shared" si="27"/>
        <v>N/A</v>
      </c>
      <c r="I85" s="541">
        <v>0</v>
      </c>
      <c r="J85" s="544" t="str">
        <f t="shared" si="28"/>
        <v>N/A</v>
      </c>
      <c r="K85" s="541">
        <v>0</v>
      </c>
      <c r="L85" s="544" t="str">
        <f t="shared" si="29"/>
        <v>N/A</v>
      </c>
    </row>
    <row r="86" spans="1:12" ht="18" customHeight="1" x14ac:dyDescent="0.3">
      <c r="A86" s="540" t="s">
        <v>1096</v>
      </c>
      <c r="B86" s="541">
        <v>0</v>
      </c>
      <c r="C86" s="541">
        <v>0</v>
      </c>
      <c r="D86" s="734" t="str">
        <f t="shared" si="25"/>
        <v>N/A</v>
      </c>
      <c r="E86" s="541">
        <v>1</v>
      </c>
      <c r="F86" s="542">
        <f t="shared" si="26"/>
        <v>1</v>
      </c>
      <c r="G86" s="541">
        <v>1</v>
      </c>
      <c r="H86" s="734">
        <f t="shared" si="27"/>
        <v>0</v>
      </c>
      <c r="I86" s="541">
        <v>0</v>
      </c>
      <c r="J86" s="544">
        <f t="shared" si="28"/>
        <v>-1</v>
      </c>
      <c r="K86" s="541">
        <v>0</v>
      </c>
      <c r="L86" s="544" t="str">
        <f t="shared" si="29"/>
        <v>N/A</v>
      </c>
    </row>
    <row r="87" spans="1:12" ht="18" customHeight="1" x14ac:dyDescent="0.3">
      <c r="A87" s="540" t="s">
        <v>1098</v>
      </c>
      <c r="B87" s="541">
        <v>52</v>
      </c>
      <c r="C87" s="541">
        <v>56</v>
      </c>
      <c r="D87" s="734">
        <f t="shared" si="25"/>
        <v>7.6923076923076927E-2</v>
      </c>
      <c r="E87" s="541">
        <v>65</v>
      </c>
      <c r="F87" s="542">
        <f t="shared" si="26"/>
        <v>0.16071428571428573</v>
      </c>
      <c r="G87" s="541">
        <v>60</v>
      </c>
      <c r="H87" s="734">
        <f t="shared" si="27"/>
        <v>-7.6923076923076927E-2</v>
      </c>
      <c r="I87" s="541">
        <v>57</v>
      </c>
      <c r="J87" s="544">
        <f t="shared" si="28"/>
        <v>-0.05</v>
      </c>
      <c r="K87" s="541">
        <v>40</v>
      </c>
      <c r="L87" s="544">
        <f t="shared" si="29"/>
        <v>-0.2982456140350877</v>
      </c>
    </row>
    <row r="88" spans="1:12" ht="18" customHeight="1" x14ac:dyDescent="0.3">
      <c r="A88" s="540" t="s">
        <v>23</v>
      </c>
      <c r="B88" s="541">
        <v>0</v>
      </c>
      <c r="C88" s="541">
        <v>0</v>
      </c>
      <c r="D88" s="734" t="str">
        <f t="shared" si="25"/>
        <v>N/A</v>
      </c>
      <c r="E88" s="541">
        <v>0</v>
      </c>
      <c r="F88" s="542" t="str">
        <f t="shared" si="26"/>
        <v>N/A</v>
      </c>
      <c r="G88" s="541">
        <v>0</v>
      </c>
      <c r="H88" s="734" t="str">
        <f t="shared" si="27"/>
        <v>N/A</v>
      </c>
      <c r="I88" s="541">
        <v>0</v>
      </c>
      <c r="J88" s="544" t="str">
        <f t="shared" si="28"/>
        <v>N/A</v>
      </c>
      <c r="K88" s="541">
        <v>0</v>
      </c>
      <c r="L88" s="544" t="str">
        <f t="shared" si="29"/>
        <v>N/A</v>
      </c>
    </row>
    <row r="89" spans="1:12" ht="18" customHeight="1" x14ac:dyDescent="0.3">
      <c r="A89" s="546" t="s">
        <v>961</v>
      </c>
      <c r="B89" s="541">
        <f>SUM(B83:B88)</f>
        <v>194</v>
      </c>
      <c r="C89" s="541">
        <f>SUM(C83:C88)</f>
        <v>225</v>
      </c>
      <c r="D89" s="734">
        <f t="shared" si="25"/>
        <v>0.15979381443298968</v>
      </c>
      <c r="E89" s="541">
        <f>SUM(E83:E88)</f>
        <v>255</v>
      </c>
      <c r="F89" s="542">
        <f t="shared" si="26"/>
        <v>0.13333333333333333</v>
      </c>
      <c r="G89" s="541">
        <f>SUM(G83:G88)</f>
        <v>302</v>
      </c>
      <c r="H89" s="734">
        <f t="shared" si="27"/>
        <v>0.18431372549019609</v>
      </c>
      <c r="I89" s="541">
        <f>SUM(I83:I88)</f>
        <v>292</v>
      </c>
      <c r="J89" s="544">
        <f t="shared" si="28"/>
        <v>-3.3112582781456956E-2</v>
      </c>
      <c r="K89" s="541">
        <f>SUM(K83:K88)</f>
        <v>284</v>
      </c>
      <c r="L89" s="544">
        <f t="shared" si="29"/>
        <v>-2.7397260273972601E-2</v>
      </c>
    </row>
    <row r="90" spans="1:12" ht="18" customHeight="1" x14ac:dyDescent="0.3">
      <c r="A90" s="536" t="s">
        <v>417</v>
      </c>
      <c r="B90" s="537"/>
      <c r="C90" s="537"/>
      <c r="D90" s="733"/>
      <c r="E90" s="537"/>
      <c r="F90" s="538"/>
      <c r="G90" s="537"/>
      <c r="H90" s="733"/>
      <c r="I90" s="537"/>
      <c r="J90" s="539"/>
      <c r="K90" s="537"/>
      <c r="L90" s="539"/>
    </row>
    <row r="91" spans="1:12" ht="18" customHeight="1" x14ac:dyDescent="0.3">
      <c r="A91" s="540" t="s">
        <v>1047</v>
      </c>
      <c r="B91" s="541">
        <v>67</v>
      </c>
      <c r="C91" s="541">
        <v>55</v>
      </c>
      <c r="D91" s="734">
        <f t="shared" ref="D91:D97" si="30">IF(B91&gt;0,(C91-B91)/B91,(IF(C91=0,"N/A",100%)))</f>
        <v>-0.17910447761194029</v>
      </c>
      <c r="E91" s="541">
        <v>74</v>
      </c>
      <c r="F91" s="542">
        <f t="shared" ref="F91:F97" si="31">IF(C91&gt;0,(E91-C91)/C91,(IF(E91=0,"N/A",100%)))</f>
        <v>0.34545454545454546</v>
      </c>
      <c r="G91" s="541">
        <v>71</v>
      </c>
      <c r="H91" s="734">
        <f t="shared" ref="H91:H97" si="32">IF(E91&gt;0,(G91-E91)/E91,(IF(G91=0,"N/A",100%)))</f>
        <v>-4.0540540540540543E-2</v>
      </c>
      <c r="I91" s="541">
        <v>125</v>
      </c>
      <c r="J91" s="544">
        <f t="shared" ref="J91:J97" si="33">IF(G91&gt;0,(I91-G91)/G91,(IF(I91=0,"N/A",100%)))</f>
        <v>0.76056338028169013</v>
      </c>
      <c r="K91" s="541">
        <v>141</v>
      </c>
      <c r="L91" s="544">
        <f t="shared" ref="L91:L97" si="34">IF(I91&gt;0,(K91-I91)/I91,(IF(K91=0,"N/A",100%)))</f>
        <v>0.128</v>
      </c>
    </row>
    <row r="92" spans="1:12" ht="18" customHeight="1" x14ac:dyDescent="0.3">
      <c r="A92" s="540" t="s">
        <v>1081</v>
      </c>
      <c r="B92" s="541">
        <v>5</v>
      </c>
      <c r="C92" s="541">
        <v>8</v>
      </c>
      <c r="D92" s="734">
        <f t="shared" si="30"/>
        <v>0.6</v>
      </c>
      <c r="E92" s="541">
        <v>7</v>
      </c>
      <c r="F92" s="542">
        <f t="shared" si="31"/>
        <v>-0.125</v>
      </c>
      <c r="G92" s="541">
        <v>12</v>
      </c>
      <c r="H92" s="734">
        <f t="shared" si="32"/>
        <v>0.7142857142857143</v>
      </c>
      <c r="I92" s="541">
        <v>8</v>
      </c>
      <c r="J92" s="544">
        <f t="shared" si="33"/>
        <v>-0.33333333333333331</v>
      </c>
      <c r="K92" s="541">
        <v>2</v>
      </c>
      <c r="L92" s="544">
        <f t="shared" si="34"/>
        <v>-0.75</v>
      </c>
    </row>
    <row r="93" spans="1:12" ht="18" customHeight="1" x14ac:dyDescent="0.3">
      <c r="A93" s="540" t="s">
        <v>384</v>
      </c>
      <c r="B93" s="541">
        <v>0</v>
      </c>
      <c r="C93" s="541">
        <v>3</v>
      </c>
      <c r="D93" s="734">
        <f t="shared" si="30"/>
        <v>1</v>
      </c>
      <c r="E93" s="541">
        <v>0</v>
      </c>
      <c r="F93" s="542">
        <f t="shared" si="31"/>
        <v>-1</v>
      </c>
      <c r="G93" s="541">
        <v>0</v>
      </c>
      <c r="H93" s="734" t="str">
        <f t="shared" si="32"/>
        <v>N/A</v>
      </c>
      <c r="I93" s="541">
        <v>1</v>
      </c>
      <c r="J93" s="544">
        <f t="shared" si="33"/>
        <v>1</v>
      </c>
      <c r="K93" s="541">
        <v>0</v>
      </c>
      <c r="L93" s="544">
        <f t="shared" si="34"/>
        <v>-1</v>
      </c>
    </row>
    <row r="94" spans="1:12" ht="18" customHeight="1" x14ac:dyDescent="0.3">
      <c r="A94" s="540" t="s">
        <v>1049</v>
      </c>
      <c r="B94" s="541">
        <v>52</v>
      </c>
      <c r="C94" s="541">
        <v>60</v>
      </c>
      <c r="D94" s="734">
        <f t="shared" si="30"/>
        <v>0.15384615384615385</v>
      </c>
      <c r="E94" s="541">
        <v>62</v>
      </c>
      <c r="F94" s="542">
        <f t="shared" si="31"/>
        <v>3.3333333333333333E-2</v>
      </c>
      <c r="G94" s="541">
        <v>95</v>
      </c>
      <c r="H94" s="734">
        <f t="shared" si="32"/>
        <v>0.532258064516129</v>
      </c>
      <c r="I94" s="541">
        <v>51</v>
      </c>
      <c r="J94" s="544">
        <f t="shared" si="33"/>
        <v>-0.4631578947368421</v>
      </c>
      <c r="K94" s="541">
        <v>20</v>
      </c>
      <c r="L94" s="544">
        <f t="shared" si="34"/>
        <v>-0.60784313725490191</v>
      </c>
    </row>
    <row r="95" spans="1:12" ht="18" customHeight="1" x14ac:dyDescent="0.3">
      <c r="A95" s="540" t="s">
        <v>385</v>
      </c>
      <c r="B95" s="541">
        <v>21</v>
      </c>
      <c r="C95" s="541">
        <v>13</v>
      </c>
      <c r="D95" s="734">
        <f t="shared" si="30"/>
        <v>-0.38095238095238093</v>
      </c>
      <c r="E95" s="541">
        <v>8</v>
      </c>
      <c r="F95" s="542">
        <f t="shared" si="31"/>
        <v>-0.38461538461538464</v>
      </c>
      <c r="G95" s="541">
        <v>0</v>
      </c>
      <c r="H95" s="734">
        <f t="shared" si="32"/>
        <v>-1</v>
      </c>
      <c r="I95" s="541">
        <v>0</v>
      </c>
      <c r="J95" s="544" t="str">
        <f t="shared" si="33"/>
        <v>N/A</v>
      </c>
      <c r="K95" s="541">
        <v>0</v>
      </c>
      <c r="L95" s="544" t="str">
        <f t="shared" si="34"/>
        <v>N/A</v>
      </c>
    </row>
    <row r="96" spans="1:12" ht="18" customHeight="1" x14ac:dyDescent="0.3">
      <c r="A96" s="546" t="s">
        <v>961</v>
      </c>
      <c r="B96" s="541">
        <f>SUM(B91:B95)</f>
        <v>145</v>
      </c>
      <c r="C96" s="541">
        <f>SUM(C91:C95)</f>
        <v>139</v>
      </c>
      <c r="D96" s="734">
        <f t="shared" si="30"/>
        <v>-4.1379310344827586E-2</v>
      </c>
      <c r="E96" s="541">
        <f>SUM(E91:E95)</f>
        <v>151</v>
      </c>
      <c r="F96" s="542">
        <f t="shared" si="31"/>
        <v>8.6330935251798566E-2</v>
      </c>
      <c r="G96" s="541">
        <f>SUM(G91:G95)</f>
        <v>178</v>
      </c>
      <c r="H96" s="734">
        <f t="shared" si="32"/>
        <v>0.17880794701986755</v>
      </c>
      <c r="I96" s="541">
        <f>SUM(I91:I95)</f>
        <v>185</v>
      </c>
      <c r="J96" s="544">
        <f t="shared" si="33"/>
        <v>3.9325842696629212E-2</v>
      </c>
      <c r="K96" s="541">
        <f>SUM(K91:K95)</f>
        <v>163</v>
      </c>
      <c r="L96" s="544">
        <f t="shared" si="34"/>
        <v>-0.11891891891891893</v>
      </c>
    </row>
    <row r="97" spans="1:12" ht="18" customHeight="1" thickBot="1" x14ac:dyDescent="0.35">
      <c r="A97" s="857" t="s">
        <v>418</v>
      </c>
      <c r="B97" s="670">
        <f>+B96+B89+B81</f>
        <v>720</v>
      </c>
      <c r="C97" s="1357">
        <f>+C96+C89+C81</f>
        <v>776</v>
      </c>
      <c r="D97" s="858">
        <f t="shared" si="30"/>
        <v>7.7777777777777779E-2</v>
      </c>
      <c r="E97" s="972">
        <f>+E96+E89+E81</f>
        <v>847</v>
      </c>
      <c r="F97" s="1358">
        <f t="shared" si="31"/>
        <v>9.1494845360824736E-2</v>
      </c>
      <c r="G97" s="972">
        <f>+G96+G89+G81</f>
        <v>893</v>
      </c>
      <c r="H97" s="858">
        <f t="shared" si="32"/>
        <v>5.4309327036599762E-2</v>
      </c>
      <c r="I97" s="972">
        <f>+I96+I89+I81</f>
        <v>846</v>
      </c>
      <c r="J97" s="859">
        <f t="shared" si="33"/>
        <v>-5.2631578947368418E-2</v>
      </c>
      <c r="K97" s="972">
        <f>+K96+K89+K81</f>
        <v>845</v>
      </c>
      <c r="L97" s="859">
        <f t="shared" si="34"/>
        <v>-1.1820330969267139E-3</v>
      </c>
    </row>
    <row r="98" spans="1:12" ht="20.25" customHeight="1" thickBot="1" x14ac:dyDescent="0.35">
      <c r="A98" s="1718" t="s">
        <v>419</v>
      </c>
      <c r="B98" s="1719"/>
      <c r="C98" s="1719"/>
      <c r="D98" s="1719"/>
      <c r="E98" s="1719"/>
      <c r="F98" s="1719"/>
      <c r="G98" s="1719"/>
      <c r="H98" s="1719"/>
      <c r="I98" s="1719"/>
      <c r="J98" s="1719"/>
      <c r="K98" s="1719"/>
      <c r="L98" s="1720"/>
    </row>
    <row r="99" spans="1:12" ht="20.25" customHeight="1" x14ac:dyDescent="0.3">
      <c r="A99" s="800" t="s">
        <v>401</v>
      </c>
      <c r="B99" s="673">
        <v>2007</v>
      </c>
      <c r="C99" s="673">
        <f>B99+1</f>
        <v>2008</v>
      </c>
      <c r="D99" s="802" t="s">
        <v>1046</v>
      </c>
      <c r="E99" s="673">
        <f>C99+1</f>
        <v>2009</v>
      </c>
      <c r="F99" s="801" t="s">
        <v>1046</v>
      </c>
      <c r="G99" s="673">
        <f>E99+1</f>
        <v>2010</v>
      </c>
      <c r="H99" s="802" t="s">
        <v>1046</v>
      </c>
      <c r="I99" s="673">
        <f>G99+1</f>
        <v>2011</v>
      </c>
      <c r="J99" s="803" t="s">
        <v>1046</v>
      </c>
      <c r="K99" s="673">
        <f>I99+1</f>
        <v>2012</v>
      </c>
      <c r="L99" s="803" t="s">
        <v>1046</v>
      </c>
    </row>
    <row r="100" spans="1:12" ht="18" customHeight="1" x14ac:dyDescent="0.3">
      <c r="A100" s="551" t="s">
        <v>420</v>
      </c>
      <c r="B100" s="554"/>
      <c r="C100" s="554"/>
      <c r="D100" s="553"/>
      <c r="E100" s="554"/>
      <c r="F100" s="553"/>
      <c r="G100" s="554"/>
      <c r="H100" s="553"/>
      <c r="I100" s="554"/>
      <c r="J100" s="555"/>
      <c r="K100" s="554"/>
      <c r="L100" s="555"/>
    </row>
    <row r="101" spans="1:12" ht="18" customHeight="1" x14ac:dyDescent="0.3">
      <c r="A101" s="540" t="s">
        <v>1099</v>
      </c>
      <c r="B101" s="541">
        <v>65</v>
      </c>
      <c r="C101" s="541">
        <v>97</v>
      </c>
      <c r="D101" s="734">
        <f t="shared" ref="D101:D107" si="35">IF(B101&gt;0,(C101-B101)/B101,(IF(C101=0,"N/A",100%)))</f>
        <v>0.49230769230769234</v>
      </c>
      <c r="E101" s="541">
        <v>96</v>
      </c>
      <c r="F101" s="542">
        <f t="shared" ref="F101:F107" si="36">IF(C101&gt;0,(E101-C101)/C101,(IF(E101=0,"N/A",100%)))</f>
        <v>-1.0309278350515464E-2</v>
      </c>
      <c r="G101" s="541">
        <v>92</v>
      </c>
      <c r="H101" s="734">
        <f t="shared" ref="H101:H107" si="37">IF(E101&gt;0,(G101-E101)/E101,(IF(G101=0,"N/A",100%)))</f>
        <v>-4.1666666666666664E-2</v>
      </c>
      <c r="I101" s="541">
        <v>84</v>
      </c>
      <c r="J101" s="544">
        <f t="shared" ref="J101:J107" si="38">IF(G101&gt;0,(I101-G101)/G101,(IF(I101=0,"N/A",100%)))</f>
        <v>-8.6956521739130432E-2</v>
      </c>
      <c r="K101" s="541">
        <v>101</v>
      </c>
      <c r="L101" s="544">
        <f t="shared" ref="L101:L107" si="39">IF(I101&gt;0,(K101-I101)/I101,(IF(K101=0,"N/A",100%)))</f>
        <v>0.20238095238095238</v>
      </c>
    </row>
    <row r="102" spans="1:12" ht="18" customHeight="1" x14ac:dyDescent="0.3">
      <c r="A102" s="540" t="s">
        <v>1104</v>
      </c>
      <c r="B102" s="541">
        <v>26</v>
      </c>
      <c r="C102" s="541">
        <v>38</v>
      </c>
      <c r="D102" s="734">
        <f t="shared" si="35"/>
        <v>0.46153846153846156</v>
      </c>
      <c r="E102" s="541">
        <v>35</v>
      </c>
      <c r="F102" s="542">
        <f t="shared" si="36"/>
        <v>-7.8947368421052627E-2</v>
      </c>
      <c r="G102" s="541">
        <v>39</v>
      </c>
      <c r="H102" s="734">
        <f t="shared" si="37"/>
        <v>0.11428571428571428</v>
      </c>
      <c r="I102" s="541">
        <v>32</v>
      </c>
      <c r="J102" s="544">
        <f t="shared" si="38"/>
        <v>-0.17948717948717949</v>
      </c>
      <c r="K102" s="541">
        <v>32</v>
      </c>
      <c r="L102" s="544">
        <f t="shared" si="39"/>
        <v>0</v>
      </c>
    </row>
    <row r="103" spans="1:12" ht="18" customHeight="1" x14ac:dyDescent="0.3">
      <c r="A103" s="540" t="s">
        <v>1105</v>
      </c>
      <c r="B103" s="541">
        <v>14</v>
      </c>
      <c r="C103" s="541">
        <v>0</v>
      </c>
      <c r="D103" s="734">
        <f t="shared" si="35"/>
        <v>-1</v>
      </c>
      <c r="E103" s="541">
        <v>1</v>
      </c>
      <c r="F103" s="542">
        <f t="shared" si="36"/>
        <v>1</v>
      </c>
      <c r="G103" s="541">
        <v>0</v>
      </c>
      <c r="H103" s="734">
        <f t="shared" si="37"/>
        <v>-1</v>
      </c>
      <c r="I103" s="541">
        <v>0</v>
      </c>
      <c r="J103" s="544" t="str">
        <f t="shared" si="38"/>
        <v>N/A</v>
      </c>
      <c r="K103" s="541">
        <v>0</v>
      </c>
      <c r="L103" s="544" t="str">
        <f t="shared" si="39"/>
        <v>N/A</v>
      </c>
    </row>
    <row r="104" spans="1:12" ht="18" customHeight="1" x14ac:dyDescent="0.3">
      <c r="A104" s="540" t="s">
        <v>1106</v>
      </c>
      <c r="B104" s="541">
        <v>76</v>
      </c>
      <c r="C104" s="541">
        <v>90</v>
      </c>
      <c r="D104" s="734">
        <f t="shared" si="35"/>
        <v>0.18421052631578946</v>
      </c>
      <c r="E104" s="541">
        <v>115</v>
      </c>
      <c r="F104" s="542">
        <f t="shared" si="36"/>
        <v>0.27777777777777779</v>
      </c>
      <c r="G104" s="541">
        <v>116</v>
      </c>
      <c r="H104" s="734">
        <f t="shared" si="37"/>
        <v>8.6956521739130436E-3</v>
      </c>
      <c r="I104" s="541">
        <v>137</v>
      </c>
      <c r="J104" s="544">
        <f t="shared" si="38"/>
        <v>0.18103448275862069</v>
      </c>
      <c r="K104" s="541">
        <v>139</v>
      </c>
      <c r="L104" s="544">
        <f t="shared" si="39"/>
        <v>1.4598540145985401E-2</v>
      </c>
    </row>
    <row r="105" spans="1:12" ht="18" customHeight="1" x14ac:dyDescent="0.3">
      <c r="A105" s="540" t="s">
        <v>1107</v>
      </c>
      <c r="B105" s="541">
        <v>225</v>
      </c>
      <c r="C105" s="541">
        <v>236</v>
      </c>
      <c r="D105" s="734">
        <f t="shared" si="35"/>
        <v>4.8888888888888891E-2</v>
      </c>
      <c r="E105" s="541">
        <v>261</v>
      </c>
      <c r="F105" s="542">
        <f t="shared" si="36"/>
        <v>0.1059322033898305</v>
      </c>
      <c r="G105" s="541">
        <v>237</v>
      </c>
      <c r="H105" s="734">
        <f t="shared" si="37"/>
        <v>-9.1954022988505746E-2</v>
      </c>
      <c r="I105" s="541">
        <v>211</v>
      </c>
      <c r="J105" s="544">
        <f t="shared" si="38"/>
        <v>-0.10970464135021098</v>
      </c>
      <c r="K105" s="541">
        <v>192</v>
      </c>
      <c r="L105" s="544">
        <f t="shared" si="39"/>
        <v>-9.004739336492891E-2</v>
      </c>
    </row>
    <row r="106" spans="1:12" ht="18" customHeight="1" x14ac:dyDescent="0.3">
      <c r="A106" s="540" t="s">
        <v>1086</v>
      </c>
      <c r="B106" s="541">
        <v>1</v>
      </c>
      <c r="C106" s="541">
        <v>4</v>
      </c>
      <c r="D106" s="734">
        <f t="shared" si="35"/>
        <v>3</v>
      </c>
      <c r="E106" s="541">
        <v>1</v>
      </c>
      <c r="F106" s="542">
        <f t="shared" si="36"/>
        <v>-0.75</v>
      </c>
      <c r="G106" s="541">
        <v>0</v>
      </c>
      <c r="H106" s="734">
        <f t="shared" si="37"/>
        <v>-1</v>
      </c>
      <c r="I106" s="541">
        <v>0</v>
      </c>
      <c r="J106" s="544" t="str">
        <f t="shared" si="38"/>
        <v>N/A</v>
      </c>
      <c r="K106" s="541">
        <v>0</v>
      </c>
      <c r="L106" s="544" t="str">
        <f t="shared" si="39"/>
        <v>N/A</v>
      </c>
    </row>
    <row r="107" spans="1:12" ht="18" customHeight="1" x14ac:dyDescent="0.3">
      <c r="A107" s="546" t="s">
        <v>961</v>
      </c>
      <c r="B107" s="541">
        <f>SUM(B101:B106)</f>
        <v>407</v>
      </c>
      <c r="C107" s="541">
        <f>SUM(C101:C106)</f>
        <v>465</v>
      </c>
      <c r="D107" s="734">
        <f t="shared" si="35"/>
        <v>0.14250614250614252</v>
      </c>
      <c r="E107" s="541">
        <f>SUM(E101:E106)</f>
        <v>509</v>
      </c>
      <c r="F107" s="542">
        <f t="shared" si="36"/>
        <v>9.4623655913978491E-2</v>
      </c>
      <c r="G107" s="541">
        <f>SUM(G101:G106)</f>
        <v>484</v>
      </c>
      <c r="H107" s="734">
        <f t="shared" si="37"/>
        <v>-4.9115913555992138E-2</v>
      </c>
      <c r="I107" s="541">
        <f>SUM(I101:I106)</f>
        <v>464</v>
      </c>
      <c r="J107" s="544">
        <f t="shared" si="38"/>
        <v>-4.1322314049586778E-2</v>
      </c>
      <c r="K107" s="541">
        <f>SUM(K101:K106)</f>
        <v>464</v>
      </c>
      <c r="L107" s="544">
        <f t="shared" si="39"/>
        <v>0</v>
      </c>
    </row>
    <row r="108" spans="1:12" ht="18" customHeight="1" x14ac:dyDescent="0.3">
      <c r="A108" s="536" t="s">
        <v>421</v>
      </c>
      <c r="B108" s="537"/>
      <c r="C108" s="537"/>
      <c r="D108" s="733"/>
      <c r="E108" s="537"/>
      <c r="F108" s="538"/>
      <c r="G108" s="537"/>
      <c r="H108" s="733"/>
      <c r="I108" s="537"/>
      <c r="J108" s="539"/>
      <c r="K108" s="537"/>
      <c r="L108" s="539"/>
    </row>
    <row r="109" spans="1:12" s="831" customFormat="1" ht="18" customHeight="1" x14ac:dyDescent="0.3">
      <c r="A109" s="832" t="s">
        <v>502</v>
      </c>
      <c r="B109" s="830">
        <v>9</v>
      </c>
      <c r="C109" s="830">
        <v>14</v>
      </c>
      <c r="D109" s="734">
        <f t="shared" ref="D109:D122" si="40">IF(B109&gt;0,(C109-B109)/B109,(IF(C109=0,"N/A",100%)))</f>
        <v>0.55555555555555558</v>
      </c>
      <c r="E109" s="830">
        <v>14</v>
      </c>
      <c r="F109" s="542">
        <f t="shared" ref="F109:F122" si="41">IF(C109&gt;0,(E109-C109)/C109,(IF(E109=0,"N/A",100%)))</f>
        <v>0</v>
      </c>
      <c r="G109" s="830">
        <v>10</v>
      </c>
      <c r="H109" s="734">
        <f t="shared" ref="H109:H122" si="42">IF(E109&gt;0,(G109-E109)/E109,(IF(G109=0,"N/A",100%)))</f>
        <v>-0.2857142857142857</v>
      </c>
      <c r="I109" s="830">
        <v>9</v>
      </c>
      <c r="J109" s="544">
        <f t="shared" ref="J109:J122" si="43">IF(G109&gt;0,(I109-G109)/G109,(IF(I109=0,"N/A",100%)))</f>
        <v>-0.1</v>
      </c>
      <c r="K109" s="830">
        <v>5</v>
      </c>
      <c r="L109" s="544">
        <f t="shared" ref="L109:L110" si="44">IF(I109&gt;0,(K109-I109)/I109,(IF(K109=0,"N/A",100%)))</f>
        <v>-0.44444444444444442</v>
      </c>
    </row>
    <row r="110" spans="1:12" s="831" customFormat="1" ht="18" customHeight="1" x14ac:dyDescent="0.3">
      <c r="A110" s="832" t="s">
        <v>582</v>
      </c>
      <c r="B110" s="830">
        <v>1</v>
      </c>
      <c r="C110" s="830">
        <v>3</v>
      </c>
      <c r="D110" s="734">
        <f t="shared" si="40"/>
        <v>2</v>
      </c>
      <c r="E110" s="830">
        <v>0</v>
      </c>
      <c r="F110" s="542">
        <f t="shared" si="41"/>
        <v>-1</v>
      </c>
      <c r="G110" s="830">
        <v>0</v>
      </c>
      <c r="H110" s="734" t="str">
        <f t="shared" si="42"/>
        <v>N/A</v>
      </c>
      <c r="I110" s="830">
        <v>0</v>
      </c>
      <c r="J110" s="544" t="str">
        <f t="shared" si="43"/>
        <v>N/A</v>
      </c>
      <c r="K110" s="830">
        <v>0</v>
      </c>
      <c r="L110" s="544" t="str">
        <f t="shared" si="44"/>
        <v>N/A</v>
      </c>
    </row>
    <row r="111" spans="1:12" ht="18" customHeight="1" x14ac:dyDescent="0.3">
      <c r="A111" s="540" t="s">
        <v>1077</v>
      </c>
      <c r="B111" s="541">
        <v>62</v>
      </c>
      <c r="C111" s="541">
        <v>57</v>
      </c>
      <c r="D111" s="734">
        <f t="shared" si="40"/>
        <v>-8.0645161290322578E-2</v>
      </c>
      <c r="E111" s="541">
        <v>47</v>
      </c>
      <c r="F111" s="542">
        <f t="shared" si="41"/>
        <v>-0.17543859649122806</v>
      </c>
      <c r="G111" s="541">
        <v>41</v>
      </c>
      <c r="H111" s="734">
        <f t="shared" si="42"/>
        <v>-0.1276595744680851</v>
      </c>
      <c r="I111" s="541">
        <v>29</v>
      </c>
      <c r="J111" s="734">
        <f>IF(G111&gt;0,(I111-G111)/G111,(IF(I111=0,"N/A",100%)))</f>
        <v>-0.29268292682926828</v>
      </c>
      <c r="K111" s="541">
        <v>27</v>
      </c>
      <c r="L111" s="734">
        <f>IF(I111&gt;0,(K111-I111)/I111,(IF(K111=0,"N/A",100%)))</f>
        <v>-6.8965517241379309E-2</v>
      </c>
    </row>
    <row r="112" spans="1:12" ht="18" customHeight="1" x14ac:dyDescent="0.3">
      <c r="A112" s="540" t="s">
        <v>1445</v>
      </c>
      <c r="B112" s="541"/>
      <c r="C112" s="541"/>
      <c r="D112" s="734" t="str">
        <f t="shared" si="40"/>
        <v>N/A</v>
      </c>
      <c r="E112" s="541">
        <v>1</v>
      </c>
      <c r="F112" s="542">
        <f t="shared" si="41"/>
        <v>1</v>
      </c>
      <c r="G112" s="541">
        <v>0</v>
      </c>
      <c r="H112" s="734">
        <f t="shared" si="42"/>
        <v>-1</v>
      </c>
      <c r="I112" s="541">
        <v>0</v>
      </c>
      <c r="J112" s="734" t="str">
        <f>IF(G112&gt;0,(I112-G112)/G112,(IF(I112=0,"N/A",100%)))</f>
        <v>N/A</v>
      </c>
      <c r="K112" s="541">
        <v>0</v>
      </c>
      <c r="L112" s="734" t="str">
        <f>IF(I112&gt;0,(K112-I112)/I112,(IF(K112=0,"N/A",100%)))</f>
        <v>N/A</v>
      </c>
    </row>
    <row r="113" spans="1:12" ht="18" customHeight="1" x14ac:dyDescent="0.3">
      <c r="A113" s="540" t="s">
        <v>719</v>
      </c>
      <c r="B113" s="541">
        <v>6</v>
      </c>
      <c r="C113" s="541">
        <v>2</v>
      </c>
      <c r="D113" s="734">
        <f t="shared" si="40"/>
        <v>-0.66666666666666663</v>
      </c>
      <c r="E113" s="541">
        <v>1</v>
      </c>
      <c r="F113" s="542">
        <f t="shared" si="41"/>
        <v>-0.5</v>
      </c>
      <c r="G113" s="541">
        <v>0</v>
      </c>
      <c r="H113" s="734">
        <f t="shared" si="42"/>
        <v>-1</v>
      </c>
      <c r="I113" s="541">
        <v>0</v>
      </c>
      <c r="J113" s="544" t="str">
        <f t="shared" si="43"/>
        <v>N/A</v>
      </c>
      <c r="K113" s="541">
        <v>0</v>
      </c>
      <c r="L113" s="544" t="str">
        <f t="shared" ref="L113:L122" si="45">IF(I113&gt;0,(K113-I113)/I113,(IF(K113=0,"N/A",100%)))</f>
        <v>N/A</v>
      </c>
    </row>
    <row r="114" spans="1:12" ht="18" customHeight="1" x14ac:dyDescent="0.3">
      <c r="A114" s="540" t="s">
        <v>386</v>
      </c>
      <c r="B114" s="541">
        <v>7</v>
      </c>
      <c r="C114" s="541">
        <v>8</v>
      </c>
      <c r="D114" s="734">
        <f t="shared" si="40"/>
        <v>0.14285714285714285</v>
      </c>
      <c r="E114" s="541">
        <v>0</v>
      </c>
      <c r="F114" s="542">
        <f t="shared" si="41"/>
        <v>-1</v>
      </c>
      <c r="G114" s="541">
        <v>0</v>
      </c>
      <c r="H114" s="734" t="str">
        <f t="shared" si="42"/>
        <v>N/A</v>
      </c>
      <c r="I114" s="541">
        <v>0</v>
      </c>
      <c r="J114" s="544" t="str">
        <f t="shared" si="43"/>
        <v>N/A</v>
      </c>
      <c r="K114" s="541">
        <v>0</v>
      </c>
      <c r="L114" s="544" t="str">
        <f t="shared" si="45"/>
        <v>N/A</v>
      </c>
    </row>
    <row r="115" spans="1:12" ht="18" customHeight="1" x14ac:dyDescent="0.3">
      <c r="A115" s="540" t="s">
        <v>732</v>
      </c>
      <c r="B115" s="541">
        <v>4</v>
      </c>
      <c r="C115" s="541">
        <v>9</v>
      </c>
      <c r="D115" s="734">
        <f t="shared" si="40"/>
        <v>1.25</v>
      </c>
      <c r="E115" s="541">
        <v>9</v>
      </c>
      <c r="F115" s="542">
        <f t="shared" si="41"/>
        <v>0</v>
      </c>
      <c r="G115" s="541">
        <v>9</v>
      </c>
      <c r="H115" s="734">
        <f t="shared" si="42"/>
        <v>0</v>
      </c>
      <c r="I115" s="541">
        <v>7</v>
      </c>
      <c r="J115" s="544">
        <f t="shared" si="43"/>
        <v>-0.22222222222222221</v>
      </c>
      <c r="K115" s="541">
        <v>8</v>
      </c>
      <c r="L115" s="544">
        <f t="shared" si="45"/>
        <v>0.14285714285714285</v>
      </c>
    </row>
    <row r="116" spans="1:12" ht="18" customHeight="1" x14ac:dyDescent="0.3">
      <c r="A116" s="540" t="s">
        <v>387</v>
      </c>
      <c r="B116" s="541">
        <v>7</v>
      </c>
      <c r="C116" s="541">
        <v>2</v>
      </c>
      <c r="D116" s="734">
        <f t="shared" si="40"/>
        <v>-0.7142857142857143</v>
      </c>
      <c r="E116" s="541">
        <v>7</v>
      </c>
      <c r="F116" s="542">
        <f t="shared" si="41"/>
        <v>2.5</v>
      </c>
      <c r="G116" s="541">
        <v>4</v>
      </c>
      <c r="H116" s="734">
        <f t="shared" si="42"/>
        <v>-0.42857142857142855</v>
      </c>
      <c r="I116" s="541">
        <v>0</v>
      </c>
      <c r="J116" s="544">
        <f t="shared" si="43"/>
        <v>-1</v>
      </c>
      <c r="K116" s="541">
        <v>0</v>
      </c>
      <c r="L116" s="544" t="str">
        <f t="shared" si="45"/>
        <v>N/A</v>
      </c>
    </row>
    <row r="117" spans="1:12" ht="18" customHeight="1" x14ac:dyDescent="0.3">
      <c r="A117" s="540" t="s">
        <v>1053</v>
      </c>
      <c r="B117" s="541">
        <v>49</v>
      </c>
      <c r="C117" s="541">
        <v>48</v>
      </c>
      <c r="D117" s="734">
        <f t="shared" si="40"/>
        <v>-2.0408163265306121E-2</v>
      </c>
      <c r="E117" s="541">
        <v>37</v>
      </c>
      <c r="F117" s="542">
        <f t="shared" si="41"/>
        <v>-0.22916666666666666</v>
      </c>
      <c r="G117" s="541">
        <v>54</v>
      </c>
      <c r="H117" s="734">
        <f t="shared" si="42"/>
        <v>0.45945945945945948</v>
      </c>
      <c r="I117" s="541">
        <v>54</v>
      </c>
      <c r="J117" s="544">
        <f t="shared" si="43"/>
        <v>0</v>
      </c>
      <c r="K117" s="541">
        <v>58</v>
      </c>
      <c r="L117" s="544">
        <f t="shared" si="45"/>
        <v>7.407407407407407E-2</v>
      </c>
    </row>
    <row r="118" spans="1:12" ht="18" customHeight="1" x14ac:dyDescent="0.3">
      <c r="A118" s="540" t="s">
        <v>388</v>
      </c>
      <c r="B118" s="541">
        <v>4</v>
      </c>
      <c r="C118" s="541">
        <v>5</v>
      </c>
      <c r="D118" s="734">
        <f t="shared" si="40"/>
        <v>0.25</v>
      </c>
      <c r="E118" s="541">
        <v>4</v>
      </c>
      <c r="F118" s="542">
        <f t="shared" si="41"/>
        <v>-0.2</v>
      </c>
      <c r="G118" s="541">
        <v>2</v>
      </c>
      <c r="H118" s="734">
        <f t="shared" si="42"/>
        <v>-0.5</v>
      </c>
      <c r="I118" s="541">
        <v>0</v>
      </c>
      <c r="J118" s="544">
        <f t="shared" si="43"/>
        <v>-1</v>
      </c>
      <c r="K118" s="541">
        <v>0</v>
      </c>
      <c r="L118" s="544" t="str">
        <f t="shared" si="45"/>
        <v>N/A</v>
      </c>
    </row>
    <row r="119" spans="1:12" ht="18" customHeight="1" x14ac:dyDescent="0.3">
      <c r="A119" s="540" t="s">
        <v>1055</v>
      </c>
      <c r="B119" s="541">
        <v>49</v>
      </c>
      <c r="C119" s="541">
        <v>63</v>
      </c>
      <c r="D119" s="734">
        <f t="shared" si="40"/>
        <v>0.2857142857142857</v>
      </c>
      <c r="E119" s="541">
        <v>59</v>
      </c>
      <c r="F119" s="542">
        <f t="shared" si="41"/>
        <v>-6.3492063492063489E-2</v>
      </c>
      <c r="G119" s="541">
        <v>70</v>
      </c>
      <c r="H119" s="734">
        <f t="shared" si="42"/>
        <v>0.1864406779661017</v>
      </c>
      <c r="I119" s="541">
        <v>79</v>
      </c>
      <c r="J119" s="544">
        <f t="shared" si="43"/>
        <v>0.12857142857142856</v>
      </c>
      <c r="K119" s="541">
        <v>86</v>
      </c>
      <c r="L119" s="544">
        <f t="shared" si="45"/>
        <v>8.8607594936708861E-2</v>
      </c>
    </row>
    <row r="120" spans="1:12" ht="18" customHeight="1" x14ac:dyDescent="0.3">
      <c r="A120" s="540" t="s">
        <v>390</v>
      </c>
      <c r="B120" s="541">
        <v>6</v>
      </c>
      <c r="C120" s="541">
        <v>5</v>
      </c>
      <c r="D120" s="734">
        <f t="shared" si="40"/>
        <v>-0.16666666666666666</v>
      </c>
      <c r="E120" s="541">
        <v>3</v>
      </c>
      <c r="F120" s="542">
        <f t="shared" si="41"/>
        <v>-0.4</v>
      </c>
      <c r="G120" s="541">
        <v>2</v>
      </c>
      <c r="H120" s="734">
        <f t="shared" si="42"/>
        <v>-0.33333333333333331</v>
      </c>
      <c r="I120" s="541">
        <v>1</v>
      </c>
      <c r="J120" s="544">
        <f t="shared" si="43"/>
        <v>-0.5</v>
      </c>
      <c r="K120" s="541">
        <v>0</v>
      </c>
      <c r="L120" s="544">
        <f t="shared" si="45"/>
        <v>-1</v>
      </c>
    </row>
    <row r="121" spans="1:12" ht="18" customHeight="1" x14ac:dyDescent="0.3">
      <c r="A121" s="546" t="s">
        <v>961</v>
      </c>
      <c r="B121" s="541">
        <f>SUM(B109:B120)</f>
        <v>204</v>
      </c>
      <c r="C121" s="833">
        <f>SUM(C109:C120)</f>
        <v>216</v>
      </c>
      <c r="D121" s="734">
        <f t="shared" si="40"/>
        <v>5.8823529411764705E-2</v>
      </c>
      <c r="E121" s="541">
        <f>SUM(E109:E120)</f>
        <v>182</v>
      </c>
      <c r="F121" s="542">
        <f t="shared" si="41"/>
        <v>-0.15740740740740741</v>
      </c>
      <c r="G121" s="541">
        <f>SUM(G109:G120)</f>
        <v>192</v>
      </c>
      <c r="H121" s="734">
        <f t="shared" si="42"/>
        <v>5.4945054945054944E-2</v>
      </c>
      <c r="I121" s="541">
        <f>SUM(I109:I120)</f>
        <v>179</v>
      </c>
      <c r="J121" s="544">
        <f t="shared" si="43"/>
        <v>-6.7708333333333329E-2</v>
      </c>
      <c r="K121" s="541">
        <f>SUM(K109:K120)</f>
        <v>184</v>
      </c>
      <c r="L121" s="544">
        <f t="shared" si="45"/>
        <v>2.7932960893854747E-2</v>
      </c>
    </row>
    <row r="122" spans="1:12" ht="18" customHeight="1" thickBot="1" x14ac:dyDescent="0.35">
      <c r="A122" s="549" t="s">
        <v>422</v>
      </c>
      <c r="B122" s="550">
        <f>+B121+B107</f>
        <v>611</v>
      </c>
      <c r="C122" s="550">
        <f>+C121+C107</f>
        <v>681</v>
      </c>
      <c r="D122" s="736">
        <f t="shared" si="40"/>
        <v>0.11456628477905073</v>
      </c>
      <c r="E122" s="550">
        <f>+E121+E107</f>
        <v>691</v>
      </c>
      <c r="F122" s="556">
        <f t="shared" si="41"/>
        <v>1.4684287812041116E-2</v>
      </c>
      <c r="G122" s="550">
        <f>+G121+G107</f>
        <v>676</v>
      </c>
      <c r="H122" s="736">
        <f t="shared" si="42"/>
        <v>-2.1707670043415339E-2</v>
      </c>
      <c r="I122" s="550">
        <f>+I121+I107</f>
        <v>643</v>
      </c>
      <c r="J122" s="557">
        <f t="shared" si="43"/>
        <v>-4.8816568047337278E-2</v>
      </c>
      <c r="K122" s="550">
        <f>+K121+K107</f>
        <v>648</v>
      </c>
      <c r="L122" s="557">
        <f t="shared" si="45"/>
        <v>7.7760497667185074E-3</v>
      </c>
    </row>
    <row r="123" spans="1:12" ht="18" customHeight="1" thickTop="1" x14ac:dyDescent="0.3">
      <c r="A123" s="536" t="s">
        <v>930</v>
      </c>
      <c r="B123" s="537"/>
      <c r="C123" s="537"/>
      <c r="D123" s="733"/>
      <c r="E123" s="537"/>
      <c r="F123" s="538"/>
      <c r="G123" s="537"/>
      <c r="H123" s="733"/>
      <c r="I123" s="537"/>
      <c r="J123" s="539"/>
      <c r="K123" s="537"/>
      <c r="L123" s="539"/>
    </row>
    <row r="124" spans="1:12" ht="18" customHeight="1" x14ac:dyDescent="0.3">
      <c r="A124" s="540" t="s">
        <v>1091</v>
      </c>
      <c r="B124" s="541">
        <f>127+83</f>
        <v>210</v>
      </c>
      <c r="C124" s="541">
        <f>148+41</f>
        <v>189</v>
      </c>
      <c r="D124" s="734">
        <f t="shared" ref="D124:D129" si="46">IF(B124&gt;0,(C124-B124)/B124,(IF(C124=0,"N/A",100%)))</f>
        <v>-0.1</v>
      </c>
      <c r="E124" s="541">
        <f>166+46</f>
        <v>212</v>
      </c>
      <c r="F124" s="542">
        <f t="shared" ref="F124:F129" si="47">IF(C124&gt;0,(E124-C124)/C124,(IF(E124=0,"N/A",100%)))</f>
        <v>0.12169312169312169</v>
      </c>
      <c r="G124" s="541">
        <v>120</v>
      </c>
      <c r="H124" s="734">
        <f t="shared" ref="H124:H129" si="48">IF(E124&gt;0,(G124-E124)/E124,(IF(G124=0,"N/A",100%)))</f>
        <v>-0.43396226415094341</v>
      </c>
      <c r="I124" s="541">
        <v>244</v>
      </c>
      <c r="J124" s="544">
        <f t="shared" ref="J124:J129" si="49">IF(G124&gt;0,(I124-G124)/G124,(IF(I124=0,"N/A",100%)))</f>
        <v>1.0333333333333334</v>
      </c>
      <c r="K124" s="541">
        <f>226+125</f>
        <v>351</v>
      </c>
      <c r="L124" s="544">
        <f t="shared" ref="L124:L129" si="50">IF(I124&gt;0,(K124-I124)/I124,(IF(K124=0,"N/A",100%)))</f>
        <v>0.43852459016393441</v>
      </c>
    </row>
    <row r="125" spans="1:12" ht="18" customHeight="1" x14ac:dyDescent="0.3">
      <c r="A125" s="540" t="s">
        <v>1092</v>
      </c>
      <c r="B125" s="541">
        <v>0</v>
      </c>
      <c r="C125" s="541">
        <v>0</v>
      </c>
      <c r="D125" s="734" t="str">
        <f t="shared" si="46"/>
        <v>N/A</v>
      </c>
      <c r="E125" s="541">
        <v>0</v>
      </c>
      <c r="F125" s="542" t="str">
        <f t="shared" si="47"/>
        <v>N/A</v>
      </c>
      <c r="G125" s="541">
        <v>0</v>
      </c>
      <c r="H125" s="734" t="str">
        <f t="shared" si="48"/>
        <v>N/A</v>
      </c>
      <c r="I125" s="541">
        <v>0</v>
      </c>
      <c r="J125" s="544" t="str">
        <f t="shared" si="49"/>
        <v>N/A</v>
      </c>
      <c r="K125" s="541">
        <v>0</v>
      </c>
      <c r="L125" s="544" t="str">
        <f t="shared" si="50"/>
        <v>N/A</v>
      </c>
    </row>
    <row r="126" spans="1:12" ht="18" customHeight="1" x14ac:dyDescent="0.3">
      <c r="A126" s="540" t="s">
        <v>1093</v>
      </c>
      <c r="B126" s="541">
        <v>0</v>
      </c>
      <c r="C126" s="541">
        <v>0</v>
      </c>
      <c r="D126" s="734" t="str">
        <f t="shared" si="46"/>
        <v>N/A</v>
      </c>
      <c r="E126" s="541">
        <v>0</v>
      </c>
      <c r="F126" s="542" t="str">
        <f t="shared" si="47"/>
        <v>N/A</v>
      </c>
      <c r="G126" s="541">
        <v>0</v>
      </c>
      <c r="H126" s="734" t="str">
        <f t="shared" si="48"/>
        <v>N/A</v>
      </c>
      <c r="I126" s="541">
        <v>0</v>
      </c>
      <c r="J126" s="544" t="str">
        <f t="shared" si="49"/>
        <v>N/A</v>
      </c>
      <c r="K126" s="541">
        <v>0</v>
      </c>
      <c r="L126" s="544" t="str">
        <f t="shared" si="50"/>
        <v>N/A</v>
      </c>
    </row>
    <row r="127" spans="1:12" ht="18" customHeight="1" x14ac:dyDescent="0.3">
      <c r="A127" s="540" t="s">
        <v>1094</v>
      </c>
      <c r="B127" s="541">
        <v>33</v>
      </c>
      <c r="C127" s="541">
        <v>47</v>
      </c>
      <c r="D127" s="734">
        <f t="shared" si="46"/>
        <v>0.42424242424242425</v>
      </c>
      <c r="E127" s="541">
        <v>31</v>
      </c>
      <c r="F127" s="542">
        <f t="shared" si="47"/>
        <v>-0.34042553191489361</v>
      </c>
      <c r="G127" s="541">
        <v>244</v>
      </c>
      <c r="H127" s="734">
        <f t="shared" si="48"/>
        <v>6.870967741935484</v>
      </c>
      <c r="I127" s="541">
        <v>227</v>
      </c>
      <c r="J127" s="544">
        <f t="shared" si="49"/>
        <v>-6.9672131147540978E-2</v>
      </c>
      <c r="K127" s="541">
        <v>65</v>
      </c>
      <c r="L127" s="544">
        <f t="shared" si="50"/>
        <v>-0.71365638766519823</v>
      </c>
    </row>
    <row r="128" spans="1:12" ht="18" customHeight="1" x14ac:dyDescent="0.3">
      <c r="A128" s="546" t="s">
        <v>961</v>
      </c>
      <c r="B128" s="559">
        <f>SUM(B124:B127)</f>
        <v>243</v>
      </c>
      <c r="C128" s="559">
        <f>SUM(C124:C127)</f>
        <v>236</v>
      </c>
      <c r="D128" s="734">
        <f t="shared" si="46"/>
        <v>-2.8806584362139918E-2</v>
      </c>
      <c r="E128" s="559">
        <f>SUM(E124:E127)</f>
        <v>243</v>
      </c>
      <c r="F128" s="542">
        <f t="shared" si="47"/>
        <v>2.9661016949152543E-2</v>
      </c>
      <c r="G128" s="559">
        <f>SUM(G124:G127)</f>
        <v>364</v>
      </c>
      <c r="H128" s="734">
        <f t="shared" si="48"/>
        <v>0.49794238683127573</v>
      </c>
      <c r="I128" s="559">
        <f>SUM(I124:I127)</f>
        <v>471</v>
      </c>
      <c r="J128" s="544">
        <f t="shared" si="49"/>
        <v>0.29395604395604397</v>
      </c>
      <c r="K128" s="559">
        <f>SUM(K124:K127)</f>
        <v>416</v>
      </c>
      <c r="L128" s="544">
        <f t="shared" si="50"/>
        <v>-0.11677282377919321</v>
      </c>
    </row>
    <row r="129" spans="1:12" ht="18" customHeight="1" thickBot="1" x14ac:dyDescent="0.35">
      <c r="A129" s="648" t="s">
        <v>949</v>
      </c>
      <c r="B129" s="649">
        <f>+B128+B122+B97+B63+B34</f>
        <v>2408</v>
      </c>
      <c r="C129" s="649">
        <f>+C128+C122+C97+C63+C34</f>
        <v>2614</v>
      </c>
      <c r="D129" s="737">
        <f t="shared" si="46"/>
        <v>8.5548172757475088E-2</v>
      </c>
      <c r="E129" s="649">
        <f>+E128+E122+E97+E63+E34</f>
        <v>2838</v>
      </c>
      <c r="F129" s="650">
        <f t="shared" si="47"/>
        <v>8.5692425401683245E-2</v>
      </c>
      <c r="G129" s="649">
        <f>+G128+G122+G97+G63+G34</f>
        <v>3060</v>
      </c>
      <c r="H129" s="737">
        <f t="shared" si="48"/>
        <v>7.8224101479915431E-2</v>
      </c>
      <c r="I129" s="649">
        <f>+I128+I122+I97+I63+I34</f>
        <v>3069</v>
      </c>
      <c r="J129" s="651">
        <f t="shared" si="49"/>
        <v>2.9411764705882353E-3</v>
      </c>
      <c r="K129" s="649">
        <f>+K128+K122+K97+K63+K34</f>
        <v>3049</v>
      </c>
      <c r="L129" s="651">
        <f t="shared" si="50"/>
        <v>-6.5167807103290974E-3</v>
      </c>
    </row>
    <row r="130" spans="1:12" ht="18" customHeight="1" thickTop="1" x14ac:dyDescent="0.25">
      <c r="A130" s="560"/>
      <c r="B130" s="561"/>
      <c r="C130" s="561"/>
      <c r="D130" s="562"/>
    </row>
  </sheetData>
  <mergeCells count="5">
    <mergeCell ref="A1:L1"/>
    <mergeCell ref="A3:L3"/>
    <mergeCell ref="A35:L35"/>
    <mergeCell ref="A64:L64"/>
    <mergeCell ref="A98:L98"/>
  </mergeCells>
  <phoneticPr fontId="15" type="noConversion"/>
  <printOptions horizontalCentered="1" verticalCentered="1"/>
  <pageMargins left="0.2" right="0.2" top="0.3" bottom="0.4" header="0" footer="0.15"/>
  <pageSetup scale="47" orientation="landscape" r:id="rId1"/>
  <headerFooter alignWithMargins="0">
    <oddFooter>&amp;LSource: Office of Institutional Research</oddFooter>
  </headerFooter>
  <rowBreaks count="1" manualBreakCount="1">
    <brk id="63" max="16383" man="1"/>
  </rowBreaks>
  <legacyDrawing r:id="rId2"/>
  <webPublishItems count="1">
    <webPublishItem id="10078" divId="2004_2005 FACT BOOK WORKING COPY_10078" sourceType="sheet" destinationFile="C:\Documents and Settings\mkirkpatrick\My Documents\2005-2006 Fact Book\2005-2006 WEB PAGES\05-06fallheaccountbycollege.htm"/>
  </webPublishItem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G30"/>
  <sheetViews>
    <sheetView workbookViewId="0"/>
  </sheetViews>
  <sheetFormatPr defaultColWidth="6.6640625" defaultRowHeight="13.2" x14ac:dyDescent="0.25"/>
  <cols>
    <col min="1" max="1" width="40" style="4" customWidth="1"/>
    <col min="2" max="16384" width="6.6640625" style="1"/>
  </cols>
  <sheetData>
    <row r="1" spans="1:7" ht="22.8" x14ac:dyDescent="0.4">
      <c r="A1" s="10" t="s">
        <v>755</v>
      </c>
    </row>
    <row r="2" spans="1:7" ht="22.8" x14ac:dyDescent="0.4">
      <c r="A2" s="10"/>
    </row>
    <row r="4" spans="1:7" x14ac:dyDescent="0.25">
      <c r="A4" s="11" t="s">
        <v>756</v>
      </c>
    </row>
    <row r="5" spans="1:7" x14ac:dyDescent="0.25">
      <c r="A5" s="4" t="s">
        <v>757</v>
      </c>
    </row>
    <row r="8" spans="1:7" x14ac:dyDescent="0.25">
      <c r="A8" s="11" t="s">
        <v>1559</v>
      </c>
    </row>
    <row r="9" spans="1:7" x14ac:dyDescent="0.25">
      <c r="A9" s="4" t="s">
        <v>758</v>
      </c>
    </row>
    <row r="12" spans="1:7" x14ac:dyDescent="0.25">
      <c r="A12" s="511" t="s">
        <v>1558</v>
      </c>
      <c r="B12" s="369"/>
      <c r="C12" s="369"/>
      <c r="D12" s="369"/>
      <c r="E12" s="369"/>
      <c r="F12" s="369"/>
      <c r="G12" s="369"/>
    </row>
    <row r="13" spans="1:7" x14ac:dyDescent="0.25">
      <c r="A13" s="370" t="s">
        <v>1120</v>
      </c>
      <c r="B13" s="369"/>
      <c r="C13" s="369"/>
      <c r="D13" s="369"/>
      <c r="E13" s="369"/>
      <c r="F13" s="369"/>
      <c r="G13" s="369"/>
    </row>
    <row r="14" spans="1:7" x14ac:dyDescent="0.25">
      <c r="A14" s="370" t="s">
        <v>461</v>
      </c>
      <c r="B14" s="369"/>
      <c r="C14" s="369"/>
      <c r="D14" s="369"/>
      <c r="E14" s="369"/>
      <c r="F14" s="369"/>
      <c r="G14" s="369"/>
    </row>
    <row r="15" spans="1:7" x14ac:dyDescent="0.25">
      <c r="A15" s="370"/>
      <c r="B15" s="369"/>
      <c r="C15" s="369"/>
      <c r="D15" s="369"/>
      <c r="E15" s="369"/>
      <c r="F15" s="369"/>
      <c r="G15" s="369"/>
    </row>
    <row r="17" spans="1:1" x14ac:dyDescent="0.25">
      <c r="A17" s="9" t="s">
        <v>759</v>
      </c>
    </row>
    <row r="18" spans="1:1" x14ac:dyDescent="0.25">
      <c r="A18" s="4" t="s">
        <v>760</v>
      </c>
    </row>
    <row r="21" spans="1:1" x14ac:dyDescent="0.25">
      <c r="A21" s="9" t="s">
        <v>1383</v>
      </c>
    </row>
    <row r="22" spans="1:1" x14ac:dyDescent="0.25">
      <c r="A22" s="1011" t="s">
        <v>1384</v>
      </c>
    </row>
    <row r="25" spans="1:1" x14ac:dyDescent="0.25">
      <c r="A25" s="12" t="s">
        <v>1382</v>
      </c>
    </row>
    <row r="26" spans="1:1" x14ac:dyDescent="0.25">
      <c r="A26" s="1010" t="s">
        <v>1381</v>
      </c>
    </row>
    <row r="29" spans="1:1" x14ac:dyDescent="0.25">
      <c r="A29" s="9" t="s">
        <v>761</v>
      </c>
    </row>
    <row r="30" spans="1:1" x14ac:dyDescent="0.25">
      <c r="A30" s="4" t="s">
        <v>762</v>
      </c>
    </row>
  </sheetData>
  <phoneticPr fontId="15" type="noConversion"/>
  <printOptions horizontalCentered="1" verticalCentered="1"/>
  <pageMargins left="0.75" right="0.75" top="1" bottom="1" header="0.5" footer="0.5"/>
  <pageSetup orientation="portrait" horizontalDpi="4294967292" verticalDpi="300" r:id="rId1"/>
  <headerFooter alignWithMargins="0"/>
  <webPublishItems count="1">
    <webPublishItem id="22036" divId="2001_2002 FACT BOOK FINAL COPY_22036" sourceType="sheet" destinationFile="U:\My Documents\2004-2005 FACT BOOK\2004-2005 fact book WEB PAGES\04_05executiveofficers.htm"/>
  </webPublishItems>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1"/>
  <dimension ref="A1:AF316"/>
  <sheetViews>
    <sheetView zoomScale="60" zoomScaleNormal="60" workbookViewId="0">
      <selection sqref="A1:AE1"/>
    </sheetView>
  </sheetViews>
  <sheetFormatPr defaultRowHeight="13.2" x14ac:dyDescent="0.25"/>
  <cols>
    <col min="1" max="1" width="72.109375" bestFit="1" customWidth="1"/>
    <col min="2" max="11" width="15.44140625" hidden="1" customWidth="1"/>
    <col min="12" max="17" width="15.44140625" customWidth="1"/>
    <col min="18" max="23" width="15.33203125" customWidth="1"/>
    <col min="24" max="31" width="15.44140625" customWidth="1"/>
    <col min="32" max="33" width="15.33203125" customWidth="1"/>
  </cols>
  <sheetData>
    <row r="1" spans="1:32" ht="19.2" x14ac:dyDescent="0.35">
      <c r="A1" s="1755" t="s">
        <v>1536</v>
      </c>
      <c r="B1" s="1755"/>
      <c r="C1" s="1755"/>
      <c r="D1" s="1755"/>
      <c r="E1" s="1755"/>
      <c r="F1" s="1755"/>
      <c r="G1" s="1755"/>
      <c r="H1" s="1755"/>
      <c r="I1" s="1755"/>
      <c r="J1" s="1755"/>
      <c r="K1" s="1755"/>
      <c r="L1" s="1755"/>
      <c r="M1" s="1755"/>
      <c r="N1" s="1755"/>
      <c r="O1" s="1755"/>
      <c r="P1" s="1755"/>
      <c r="Q1" s="1755"/>
      <c r="R1" s="1755"/>
      <c r="S1" s="1755"/>
      <c r="T1" s="1755"/>
      <c r="U1" s="1755"/>
      <c r="V1" s="1755"/>
      <c r="W1" s="1755"/>
      <c r="X1" s="1755"/>
      <c r="Y1" s="1755"/>
      <c r="Z1" s="1755"/>
      <c r="AA1" s="1755"/>
      <c r="AB1" s="1755"/>
      <c r="AC1" s="1755"/>
      <c r="AD1" s="1755"/>
      <c r="AE1" s="1755"/>
    </row>
    <row r="2" spans="1:32" ht="8.25" customHeight="1" thickBot="1" x14ac:dyDescent="0.4">
      <c r="A2" s="535"/>
      <c r="B2" s="535"/>
      <c r="C2" s="535"/>
      <c r="D2" s="535"/>
      <c r="E2" s="535"/>
      <c r="F2" s="535"/>
      <c r="G2" s="535"/>
      <c r="H2" s="535"/>
      <c r="I2" s="535"/>
      <c r="J2" s="535"/>
      <c r="K2" s="535"/>
      <c r="L2" s="535"/>
      <c r="M2" s="535"/>
      <c r="N2" s="535"/>
      <c r="O2" s="535"/>
      <c r="P2" s="535"/>
      <c r="Q2" s="535"/>
    </row>
    <row r="3" spans="1:32" ht="20.25" customHeight="1" thickBot="1" x14ac:dyDescent="0.35">
      <c r="A3" s="1718" t="s">
        <v>400</v>
      </c>
      <c r="B3" s="1719"/>
      <c r="C3" s="1719"/>
      <c r="D3" s="1719"/>
      <c r="E3" s="1719"/>
      <c r="F3" s="1719"/>
      <c r="G3" s="1719"/>
      <c r="H3" s="1719"/>
      <c r="I3" s="1719"/>
      <c r="J3" s="1719"/>
      <c r="K3" s="1719"/>
      <c r="L3" s="1719"/>
      <c r="M3" s="1719"/>
      <c r="N3" s="1719"/>
      <c r="O3" s="1719"/>
      <c r="P3" s="1719"/>
      <c r="Q3" s="1719"/>
      <c r="R3" s="1719"/>
      <c r="S3" s="1719"/>
      <c r="T3" s="1719"/>
      <c r="U3" s="1719"/>
      <c r="V3" s="1719"/>
      <c r="W3" s="1719"/>
      <c r="X3" s="1719"/>
      <c r="Y3" s="1719"/>
      <c r="Z3" s="1719"/>
      <c r="AA3" s="1719"/>
      <c r="AB3" s="1719"/>
      <c r="AC3" s="1719"/>
      <c r="AD3" s="1719"/>
      <c r="AE3" s="1720"/>
    </row>
    <row r="4" spans="1:32" ht="20.25" customHeight="1" x14ac:dyDescent="0.3">
      <c r="A4" s="675" t="s">
        <v>401</v>
      </c>
      <c r="B4" s="702">
        <v>1996</v>
      </c>
      <c r="C4" s="702">
        <v>1997</v>
      </c>
      <c r="D4" s="702">
        <v>1998</v>
      </c>
      <c r="E4" s="702">
        <v>1999</v>
      </c>
      <c r="F4" s="672">
        <v>2000</v>
      </c>
      <c r="G4" s="703" t="s">
        <v>378</v>
      </c>
      <c r="H4" s="673">
        <f>F4+1</f>
        <v>2001</v>
      </c>
      <c r="I4" s="703" t="s">
        <v>378</v>
      </c>
      <c r="J4" s="673">
        <f>+H4+1</f>
        <v>2002</v>
      </c>
      <c r="K4" s="703" t="s">
        <v>378</v>
      </c>
      <c r="L4" s="673">
        <f>J4+1</f>
        <v>2003</v>
      </c>
      <c r="M4" s="703" t="s">
        <v>378</v>
      </c>
      <c r="N4" s="673">
        <f>L4+1</f>
        <v>2004</v>
      </c>
      <c r="O4" s="782" t="s">
        <v>378</v>
      </c>
      <c r="P4" s="789">
        <f>N4+1</f>
        <v>2005</v>
      </c>
      <c r="Q4" s="790" t="s">
        <v>378</v>
      </c>
      <c r="R4" s="789">
        <f>P4+1</f>
        <v>2006</v>
      </c>
      <c r="S4" s="790" t="s">
        <v>378</v>
      </c>
      <c r="T4" s="789">
        <f>R4+1</f>
        <v>2007</v>
      </c>
      <c r="U4" s="790" t="s">
        <v>378</v>
      </c>
      <c r="V4" s="789">
        <f>T4+1</f>
        <v>2008</v>
      </c>
      <c r="W4" s="790" t="s">
        <v>378</v>
      </c>
      <c r="X4" s="789">
        <f>V4+1</f>
        <v>2009</v>
      </c>
      <c r="Y4" s="790" t="s">
        <v>378</v>
      </c>
      <c r="Z4" s="789">
        <f>X4+1</f>
        <v>2010</v>
      </c>
      <c r="AA4" s="790" t="s">
        <v>378</v>
      </c>
      <c r="AB4" s="789">
        <f>Z4+1</f>
        <v>2011</v>
      </c>
      <c r="AC4" s="790" t="s">
        <v>378</v>
      </c>
      <c r="AD4" s="789">
        <f>AB4+1</f>
        <v>2012</v>
      </c>
      <c r="AE4" s="790" t="s">
        <v>378</v>
      </c>
    </row>
    <row r="5" spans="1:32" ht="18" customHeight="1" x14ac:dyDescent="0.3">
      <c r="A5" s="677" t="s">
        <v>402</v>
      </c>
      <c r="B5" s="704"/>
      <c r="C5" s="704"/>
      <c r="D5" s="704"/>
      <c r="E5" s="704"/>
      <c r="F5" s="537"/>
      <c r="G5" s="705"/>
      <c r="H5" s="537"/>
      <c r="I5" s="705"/>
      <c r="J5" s="537"/>
      <c r="K5" s="705"/>
      <c r="L5" s="537"/>
      <c r="M5" s="705"/>
      <c r="N5" s="537"/>
      <c r="O5" s="787"/>
      <c r="P5" s="552"/>
      <c r="Q5" s="712"/>
      <c r="R5" s="552"/>
      <c r="S5" s="712"/>
      <c r="T5" s="552"/>
      <c r="U5" s="712"/>
      <c r="V5" s="552"/>
      <c r="W5" s="712"/>
      <c r="X5" s="552"/>
      <c r="Y5" s="712"/>
      <c r="Z5" s="552"/>
      <c r="AA5" s="712"/>
      <c r="AB5" s="552"/>
      <c r="AC5" s="712"/>
      <c r="AD5" s="552"/>
      <c r="AE5" s="712"/>
    </row>
    <row r="6" spans="1:32" ht="18" customHeight="1" x14ac:dyDescent="0.3">
      <c r="A6" s="678" t="s">
        <v>1057</v>
      </c>
      <c r="B6" s="541">
        <v>119</v>
      </c>
      <c r="C6" s="541">
        <v>112</v>
      </c>
      <c r="D6" s="541">
        <v>114</v>
      </c>
      <c r="E6" s="541">
        <v>113</v>
      </c>
      <c r="F6" s="541">
        <v>79</v>
      </c>
      <c r="G6" s="706">
        <f t="shared" ref="G6:G13" si="0">AVERAGE(B6:F6)</f>
        <v>107.4</v>
      </c>
      <c r="H6" s="541">
        <f>74-6</f>
        <v>68</v>
      </c>
      <c r="I6" s="706">
        <f t="shared" ref="I6:I13" si="1">(H6+F6+E6+D6+C6)/5</f>
        <v>97.2</v>
      </c>
      <c r="J6" s="541">
        <v>87</v>
      </c>
      <c r="K6" s="706">
        <f t="shared" ref="K6:K13" si="2">(J6+H6+F6+E6+D6)/5</f>
        <v>92.2</v>
      </c>
      <c r="L6" s="541">
        <v>87</v>
      </c>
      <c r="M6" s="706">
        <f t="shared" ref="M6:M13" si="3">(L6+J6+H6+F6+E6)/5</f>
        <v>86.8</v>
      </c>
      <c r="N6" s="541">
        <f>115-7</f>
        <v>108</v>
      </c>
      <c r="O6" s="785">
        <f t="shared" ref="O6:O13" si="4">(+N6+L6+J6+H6+F6)/5</f>
        <v>85.8</v>
      </c>
      <c r="P6" s="715">
        <v>114</v>
      </c>
      <c r="Q6" s="792">
        <f t="shared" ref="Q6:Q13" si="5">(P6+N6+L6+J6+H6)/5</f>
        <v>92.8</v>
      </c>
      <c r="R6" s="715">
        <f>108-5</f>
        <v>103</v>
      </c>
      <c r="S6" s="792">
        <f t="shared" ref="S6:S13" si="6">(R6+P6+N6+L6+J6)/5</f>
        <v>99.8</v>
      </c>
      <c r="T6" s="715">
        <v>98</v>
      </c>
      <c r="U6" s="792">
        <f t="shared" ref="U6:U13" si="7">(T6+R6+P6+N6+L6)/5</f>
        <v>102</v>
      </c>
      <c r="V6" s="715">
        <f>99+12</f>
        <v>111</v>
      </c>
      <c r="W6" s="792">
        <f t="shared" ref="W6:W13" si="8">(V6+T6+R6+P6+N6)/5</f>
        <v>106.8</v>
      </c>
      <c r="X6" s="715">
        <v>110</v>
      </c>
      <c r="Y6" s="792">
        <f t="shared" ref="Y6:Y13" si="9">(X6+V6+T6+R6+P6)/5</f>
        <v>107.2</v>
      </c>
      <c r="Z6" s="715">
        <v>127</v>
      </c>
      <c r="AA6" s="792">
        <f t="shared" ref="AA6:AA13" si="10">(Z6+X6+V6+T6+R6)/5</f>
        <v>109.8</v>
      </c>
      <c r="AB6" s="715">
        <v>125</v>
      </c>
      <c r="AC6" s="792">
        <f t="shared" ref="AC6:AC13" si="11">(AB6+Z6+X6+V6+T6)/5</f>
        <v>114.2</v>
      </c>
      <c r="AD6" s="715">
        <v>118</v>
      </c>
      <c r="AE6" s="792">
        <f t="shared" ref="AE6:AE13" si="12">(AD6+AB6+Z6+X6+V6)/5</f>
        <v>118.2</v>
      </c>
      <c r="AF6" s="1176"/>
    </row>
    <row r="7" spans="1:32" ht="18" customHeight="1" x14ac:dyDescent="0.3">
      <c r="A7" s="678" t="s">
        <v>511</v>
      </c>
      <c r="B7" s="541">
        <v>0</v>
      </c>
      <c r="C7" s="541">
        <v>0</v>
      </c>
      <c r="D7" s="541">
        <v>1</v>
      </c>
      <c r="E7" s="541">
        <v>1</v>
      </c>
      <c r="F7" s="541">
        <v>0</v>
      </c>
      <c r="G7" s="882">
        <f t="shared" si="0"/>
        <v>0.4</v>
      </c>
      <c r="H7" s="541">
        <v>6</v>
      </c>
      <c r="I7" s="706">
        <f t="shared" si="1"/>
        <v>1.6</v>
      </c>
      <c r="J7" s="541">
        <v>5</v>
      </c>
      <c r="K7" s="706">
        <f t="shared" si="2"/>
        <v>2.6</v>
      </c>
      <c r="L7" s="541">
        <v>2</v>
      </c>
      <c r="M7" s="706">
        <f t="shared" si="3"/>
        <v>2.8</v>
      </c>
      <c r="N7" s="541">
        <v>7</v>
      </c>
      <c r="O7" s="785">
        <f t="shared" si="4"/>
        <v>4</v>
      </c>
      <c r="P7" s="715">
        <v>6</v>
      </c>
      <c r="Q7" s="792">
        <f t="shared" si="5"/>
        <v>5.2</v>
      </c>
      <c r="R7" s="715">
        <v>5</v>
      </c>
      <c r="S7" s="792">
        <f t="shared" si="6"/>
        <v>5</v>
      </c>
      <c r="T7" s="715">
        <v>6</v>
      </c>
      <c r="U7" s="792">
        <f t="shared" si="7"/>
        <v>5.2</v>
      </c>
      <c r="V7" s="715">
        <v>16</v>
      </c>
      <c r="W7" s="792">
        <f t="shared" si="8"/>
        <v>8</v>
      </c>
      <c r="X7" s="715">
        <v>13</v>
      </c>
      <c r="Y7" s="792">
        <f t="shared" si="9"/>
        <v>9.1999999999999993</v>
      </c>
      <c r="Z7" s="715">
        <v>16</v>
      </c>
      <c r="AA7" s="792">
        <f t="shared" si="10"/>
        <v>11.2</v>
      </c>
      <c r="AB7" s="715">
        <v>11</v>
      </c>
      <c r="AC7" s="792">
        <f t="shared" si="11"/>
        <v>12.4</v>
      </c>
      <c r="AD7" s="715">
        <v>13</v>
      </c>
      <c r="AE7" s="792">
        <f t="shared" si="12"/>
        <v>13.8</v>
      </c>
    </row>
    <row r="8" spans="1:32" ht="18" customHeight="1" x14ac:dyDescent="0.3">
      <c r="A8" s="707" t="s">
        <v>1061</v>
      </c>
      <c r="B8" s="541">
        <v>7</v>
      </c>
      <c r="C8" s="541">
        <v>8</v>
      </c>
      <c r="D8" s="541">
        <v>11</v>
      </c>
      <c r="E8" s="541">
        <v>5</v>
      </c>
      <c r="F8" s="541">
        <v>8</v>
      </c>
      <c r="G8" s="706">
        <f t="shared" si="0"/>
        <v>7.8</v>
      </c>
      <c r="H8" s="541">
        <v>3</v>
      </c>
      <c r="I8" s="706">
        <f t="shared" si="1"/>
        <v>7</v>
      </c>
      <c r="J8" s="541">
        <v>1</v>
      </c>
      <c r="K8" s="706">
        <f t="shared" si="2"/>
        <v>5.6</v>
      </c>
      <c r="L8" s="541">
        <v>0</v>
      </c>
      <c r="M8" s="706">
        <f t="shared" si="3"/>
        <v>3.4</v>
      </c>
      <c r="N8" s="541">
        <v>9</v>
      </c>
      <c r="O8" s="785">
        <f t="shared" si="4"/>
        <v>4.2</v>
      </c>
      <c r="P8" s="715">
        <v>0</v>
      </c>
      <c r="Q8" s="792">
        <f t="shared" si="5"/>
        <v>2.6</v>
      </c>
      <c r="R8" s="715">
        <v>0</v>
      </c>
      <c r="S8" s="792">
        <f t="shared" si="6"/>
        <v>2</v>
      </c>
      <c r="T8" s="715">
        <v>16</v>
      </c>
      <c r="U8" s="792">
        <f t="shared" si="7"/>
        <v>5</v>
      </c>
      <c r="V8" s="715">
        <v>0</v>
      </c>
      <c r="W8" s="792">
        <f t="shared" si="8"/>
        <v>5</v>
      </c>
      <c r="X8" s="715">
        <v>15</v>
      </c>
      <c r="Y8" s="792">
        <f t="shared" si="9"/>
        <v>6.2</v>
      </c>
      <c r="Z8" s="715">
        <v>20</v>
      </c>
      <c r="AA8" s="792">
        <f t="shared" si="10"/>
        <v>10.199999999999999</v>
      </c>
      <c r="AB8" s="715">
        <v>20</v>
      </c>
      <c r="AC8" s="792">
        <f t="shared" si="11"/>
        <v>14.2</v>
      </c>
      <c r="AD8" s="715">
        <v>18</v>
      </c>
      <c r="AE8" s="792">
        <f t="shared" si="12"/>
        <v>14.6</v>
      </c>
    </row>
    <row r="9" spans="1:32" ht="18" customHeight="1" x14ac:dyDescent="0.3">
      <c r="A9" s="678" t="s">
        <v>1062</v>
      </c>
      <c r="B9" s="541">
        <v>1</v>
      </c>
      <c r="C9" s="541">
        <v>4</v>
      </c>
      <c r="D9" s="541">
        <v>0</v>
      </c>
      <c r="E9" s="541">
        <v>0</v>
      </c>
      <c r="F9" s="541">
        <v>4</v>
      </c>
      <c r="G9" s="706">
        <f t="shared" si="0"/>
        <v>1.8</v>
      </c>
      <c r="H9" s="541">
        <v>1</v>
      </c>
      <c r="I9" s="706">
        <f t="shared" si="1"/>
        <v>1.8</v>
      </c>
      <c r="J9" s="541">
        <v>0</v>
      </c>
      <c r="K9" s="706">
        <f t="shared" si="2"/>
        <v>1</v>
      </c>
      <c r="L9" s="541">
        <v>0</v>
      </c>
      <c r="M9" s="706">
        <f t="shared" si="3"/>
        <v>1</v>
      </c>
      <c r="N9" s="541">
        <v>0</v>
      </c>
      <c r="O9" s="785">
        <f t="shared" si="4"/>
        <v>1</v>
      </c>
      <c r="P9" s="715">
        <v>0</v>
      </c>
      <c r="Q9" s="792">
        <f t="shared" si="5"/>
        <v>0.2</v>
      </c>
      <c r="R9" s="715">
        <v>0</v>
      </c>
      <c r="S9" s="792">
        <f t="shared" si="6"/>
        <v>0</v>
      </c>
      <c r="T9" s="715">
        <v>0</v>
      </c>
      <c r="U9" s="792">
        <f t="shared" si="7"/>
        <v>0</v>
      </c>
      <c r="V9" s="715">
        <v>0</v>
      </c>
      <c r="W9" s="792">
        <f t="shared" si="8"/>
        <v>0</v>
      </c>
      <c r="X9" s="715">
        <v>0</v>
      </c>
      <c r="Y9" s="792">
        <f t="shared" si="9"/>
        <v>0</v>
      </c>
      <c r="Z9" s="715">
        <v>0</v>
      </c>
      <c r="AA9" s="792">
        <f t="shared" si="10"/>
        <v>0</v>
      </c>
      <c r="AB9" s="715">
        <v>0</v>
      </c>
      <c r="AC9" s="792">
        <f t="shared" si="11"/>
        <v>0</v>
      </c>
      <c r="AD9" s="715">
        <v>0</v>
      </c>
      <c r="AE9" s="792">
        <f t="shared" si="12"/>
        <v>0</v>
      </c>
    </row>
    <row r="10" spans="1:32" ht="18" customHeight="1" x14ac:dyDescent="0.3">
      <c r="A10" s="678" t="s">
        <v>1063</v>
      </c>
      <c r="B10" s="541">
        <v>1</v>
      </c>
      <c r="C10" s="541">
        <v>2</v>
      </c>
      <c r="D10" s="541">
        <v>0</v>
      </c>
      <c r="E10" s="541">
        <v>0</v>
      </c>
      <c r="F10" s="541">
        <v>1</v>
      </c>
      <c r="G10" s="706">
        <f t="shared" si="0"/>
        <v>0.8</v>
      </c>
      <c r="H10" s="541">
        <v>0</v>
      </c>
      <c r="I10" s="706">
        <f t="shared" si="1"/>
        <v>0.6</v>
      </c>
      <c r="J10" s="541">
        <v>0</v>
      </c>
      <c r="K10" s="706">
        <f t="shared" si="2"/>
        <v>0.2</v>
      </c>
      <c r="L10" s="541">
        <v>0</v>
      </c>
      <c r="M10" s="706">
        <f t="shared" si="3"/>
        <v>0.2</v>
      </c>
      <c r="N10" s="541">
        <v>0</v>
      </c>
      <c r="O10" s="785">
        <f t="shared" si="4"/>
        <v>0.2</v>
      </c>
      <c r="P10" s="715">
        <v>0</v>
      </c>
      <c r="Q10" s="792">
        <f t="shared" si="5"/>
        <v>0</v>
      </c>
      <c r="R10" s="715">
        <v>0</v>
      </c>
      <c r="S10" s="792">
        <f t="shared" si="6"/>
        <v>0</v>
      </c>
      <c r="T10" s="715">
        <v>0</v>
      </c>
      <c r="U10" s="792">
        <f t="shared" si="7"/>
        <v>0</v>
      </c>
      <c r="V10" s="715">
        <v>0</v>
      </c>
      <c r="W10" s="792">
        <f t="shared" si="8"/>
        <v>0</v>
      </c>
      <c r="X10" s="715">
        <v>0</v>
      </c>
      <c r="Y10" s="792">
        <f t="shared" si="9"/>
        <v>0</v>
      </c>
      <c r="Z10" s="715">
        <v>0</v>
      </c>
      <c r="AA10" s="792">
        <f t="shared" si="10"/>
        <v>0</v>
      </c>
      <c r="AB10" s="715">
        <v>0</v>
      </c>
      <c r="AC10" s="792">
        <f t="shared" si="11"/>
        <v>0</v>
      </c>
      <c r="AD10" s="715">
        <v>0</v>
      </c>
      <c r="AE10" s="792">
        <f t="shared" si="12"/>
        <v>0</v>
      </c>
    </row>
    <row r="11" spans="1:32" ht="18" customHeight="1" x14ac:dyDescent="0.3">
      <c r="A11" s="678" t="s">
        <v>1067</v>
      </c>
      <c r="B11" s="541">
        <v>4</v>
      </c>
      <c r="C11" s="541">
        <v>2</v>
      </c>
      <c r="D11" s="541">
        <v>0</v>
      </c>
      <c r="E11" s="541">
        <v>0</v>
      </c>
      <c r="F11" s="541">
        <v>7</v>
      </c>
      <c r="G11" s="706">
        <f t="shared" si="0"/>
        <v>2.6</v>
      </c>
      <c r="H11" s="541">
        <v>2</v>
      </c>
      <c r="I11" s="706">
        <f t="shared" si="1"/>
        <v>2.2000000000000002</v>
      </c>
      <c r="J11" s="541">
        <v>1</v>
      </c>
      <c r="K11" s="706">
        <f t="shared" si="2"/>
        <v>2</v>
      </c>
      <c r="L11" s="541">
        <v>0</v>
      </c>
      <c r="M11" s="706">
        <f t="shared" si="3"/>
        <v>2</v>
      </c>
      <c r="N11" s="541">
        <v>0</v>
      </c>
      <c r="O11" s="785">
        <f t="shared" si="4"/>
        <v>2</v>
      </c>
      <c r="P11" s="715">
        <v>0</v>
      </c>
      <c r="Q11" s="792">
        <f t="shared" si="5"/>
        <v>0.6</v>
      </c>
      <c r="R11" s="715">
        <v>0</v>
      </c>
      <c r="S11" s="792">
        <f t="shared" si="6"/>
        <v>0.2</v>
      </c>
      <c r="T11" s="715">
        <v>0</v>
      </c>
      <c r="U11" s="792">
        <f t="shared" si="7"/>
        <v>0</v>
      </c>
      <c r="V11" s="715">
        <v>0</v>
      </c>
      <c r="W11" s="792">
        <f t="shared" si="8"/>
        <v>0</v>
      </c>
      <c r="X11" s="715">
        <v>0</v>
      </c>
      <c r="Y11" s="792">
        <f t="shared" si="9"/>
        <v>0</v>
      </c>
      <c r="Z11" s="715">
        <v>0</v>
      </c>
      <c r="AA11" s="792">
        <f t="shared" si="10"/>
        <v>0</v>
      </c>
      <c r="AB11" s="715">
        <v>0</v>
      </c>
      <c r="AC11" s="792">
        <f t="shared" si="11"/>
        <v>0</v>
      </c>
      <c r="AD11" s="715">
        <v>0</v>
      </c>
      <c r="AE11" s="792">
        <f t="shared" si="12"/>
        <v>0</v>
      </c>
    </row>
    <row r="12" spans="1:32" ht="18" customHeight="1" x14ac:dyDescent="0.3">
      <c r="A12" s="678" t="s">
        <v>1069</v>
      </c>
      <c r="B12" s="541">
        <v>1</v>
      </c>
      <c r="C12" s="541">
        <v>1</v>
      </c>
      <c r="D12" s="541">
        <v>0</v>
      </c>
      <c r="E12" s="541">
        <v>0</v>
      </c>
      <c r="F12" s="541">
        <v>1</v>
      </c>
      <c r="G12" s="706">
        <f t="shared" si="0"/>
        <v>0.6</v>
      </c>
      <c r="H12" s="541">
        <v>4</v>
      </c>
      <c r="I12" s="706">
        <f t="shared" si="1"/>
        <v>1.2</v>
      </c>
      <c r="J12" s="541">
        <v>1</v>
      </c>
      <c r="K12" s="706">
        <f t="shared" si="2"/>
        <v>1.2</v>
      </c>
      <c r="L12" s="541">
        <v>0</v>
      </c>
      <c r="M12" s="706">
        <f t="shared" si="3"/>
        <v>1.2</v>
      </c>
      <c r="N12" s="541">
        <v>0</v>
      </c>
      <c r="O12" s="785">
        <f t="shared" si="4"/>
        <v>1.2</v>
      </c>
      <c r="P12" s="715">
        <v>0</v>
      </c>
      <c r="Q12" s="792">
        <f t="shared" si="5"/>
        <v>1</v>
      </c>
      <c r="R12" s="715">
        <v>0</v>
      </c>
      <c r="S12" s="792">
        <f t="shared" si="6"/>
        <v>0.2</v>
      </c>
      <c r="T12" s="715">
        <v>0</v>
      </c>
      <c r="U12" s="792">
        <f t="shared" si="7"/>
        <v>0</v>
      </c>
      <c r="V12" s="715">
        <v>0</v>
      </c>
      <c r="W12" s="792">
        <f t="shared" si="8"/>
        <v>0</v>
      </c>
      <c r="X12" s="715">
        <v>0</v>
      </c>
      <c r="Y12" s="792">
        <f t="shared" si="9"/>
        <v>0</v>
      </c>
      <c r="Z12" s="715">
        <v>0</v>
      </c>
      <c r="AA12" s="792">
        <f t="shared" si="10"/>
        <v>0</v>
      </c>
      <c r="AB12" s="715">
        <v>0</v>
      </c>
      <c r="AC12" s="792">
        <f t="shared" si="11"/>
        <v>0</v>
      </c>
      <c r="AD12" s="715">
        <v>0</v>
      </c>
      <c r="AE12" s="792">
        <f t="shared" si="12"/>
        <v>0</v>
      </c>
    </row>
    <row r="13" spans="1:32" ht="18" customHeight="1" x14ac:dyDescent="0.3">
      <c r="A13" s="679" t="s">
        <v>961</v>
      </c>
      <c r="B13" s="541">
        <f>SUM(B6:B12)</f>
        <v>133</v>
      </c>
      <c r="C13" s="541">
        <f>SUM(C6:C12)</f>
        <v>129</v>
      </c>
      <c r="D13" s="541">
        <f>SUM(D6:D12)</f>
        <v>126</v>
      </c>
      <c r="E13" s="541">
        <f>SUM(E6:E12)</f>
        <v>119</v>
      </c>
      <c r="F13" s="541">
        <f>SUM(F6:F12)</f>
        <v>100</v>
      </c>
      <c r="G13" s="706">
        <f t="shared" si="0"/>
        <v>121.4</v>
      </c>
      <c r="H13" s="541">
        <f>SUM(H6:H12)</f>
        <v>84</v>
      </c>
      <c r="I13" s="706">
        <f t="shared" si="1"/>
        <v>111.6</v>
      </c>
      <c r="J13" s="541">
        <f>SUM(J6:J12)</f>
        <v>95</v>
      </c>
      <c r="K13" s="706">
        <f t="shared" si="2"/>
        <v>104.8</v>
      </c>
      <c r="L13" s="541">
        <f>SUM(L6:L12)</f>
        <v>89</v>
      </c>
      <c r="M13" s="706">
        <f t="shared" si="3"/>
        <v>97.4</v>
      </c>
      <c r="N13" s="541">
        <f>SUM(N6:N12)</f>
        <v>124</v>
      </c>
      <c r="O13" s="785">
        <f t="shared" si="4"/>
        <v>98.4</v>
      </c>
      <c r="P13" s="715">
        <f>SUM(P6:P12)</f>
        <v>120</v>
      </c>
      <c r="Q13" s="792">
        <f t="shared" si="5"/>
        <v>102.4</v>
      </c>
      <c r="R13" s="715">
        <f>SUM(R6:R12)</f>
        <v>108</v>
      </c>
      <c r="S13" s="792">
        <f t="shared" si="6"/>
        <v>107.2</v>
      </c>
      <c r="T13" s="715">
        <f>SUM(T6:T12)</f>
        <v>120</v>
      </c>
      <c r="U13" s="792">
        <f t="shared" si="7"/>
        <v>112.2</v>
      </c>
      <c r="V13" s="715">
        <f>SUM(V6:V12)</f>
        <v>127</v>
      </c>
      <c r="W13" s="792">
        <f t="shared" si="8"/>
        <v>119.8</v>
      </c>
      <c r="X13" s="715">
        <f>SUM(X6:X12)</f>
        <v>138</v>
      </c>
      <c r="Y13" s="792">
        <f t="shared" si="9"/>
        <v>122.6</v>
      </c>
      <c r="Z13" s="715">
        <f>SUM(Z6:Z12)</f>
        <v>163</v>
      </c>
      <c r="AA13" s="792">
        <f t="shared" si="10"/>
        <v>131.19999999999999</v>
      </c>
      <c r="AB13" s="715">
        <f>SUM(AB6:AB12)</f>
        <v>156</v>
      </c>
      <c r="AC13" s="792">
        <f t="shared" si="11"/>
        <v>140.80000000000001</v>
      </c>
      <c r="AD13" s="715">
        <f>SUM(AD6:AD12)</f>
        <v>149</v>
      </c>
      <c r="AE13" s="792">
        <f t="shared" si="12"/>
        <v>146.6</v>
      </c>
    </row>
    <row r="14" spans="1:32" ht="18" customHeight="1" x14ac:dyDescent="0.3">
      <c r="A14" s="677" t="s">
        <v>403</v>
      </c>
      <c r="B14" s="537"/>
      <c r="C14" s="537"/>
      <c r="D14" s="537"/>
      <c r="E14" s="537"/>
      <c r="F14" s="537"/>
      <c r="G14" s="708"/>
      <c r="H14" s="537"/>
      <c r="I14" s="708"/>
      <c r="J14" s="537"/>
      <c r="K14" s="708"/>
      <c r="L14" s="537"/>
      <c r="M14" s="705"/>
      <c r="N14" s="537"/>
      <c r="O14" s="786"/>
      <c r="P14" s="552"/>
      <c r="Q14" s="552"/>
      <c r="R14" s="552"/>
      <c r="S14" s="552"/>
      <c r="T14" s="552"/>
      <c r="U14" s="552"/>
      <c r="V14" s="552"/>
      <c r="W14" s="552"/>
      <c r="X14" s="552"/>
      <c r="Y14" s="552"/>
      <c r="Z14" s="552"/>
      <c r="AA14" s="552"/>
      <c r="AB14" s="552"/>
      <c r="AC14" s="552"/>
      <c r="AD14" s="552"/>
      <c r="AE14" s="552"/>
    </row>
    <row r="15" spans="1:32" ht="18" customHeight="1" x14ac:dyDescent="0.3">
      <c r="A15" s="681" t="s">
        <v>1082</v>
      </c>
      <c r="B15" s="541">
        <v>12</v>
      </c>
      <c r="C15" s="541">
        <v>14</v>
      </c>
      <c r="D15" s="541">
        <v>13</v>
      </c>
      <c r="E15" s="541">
        <v>14</v>
      </c>
      <c r="F15" s="541">
        <v>24</v>
      </c>
      <c r="G15" s="706">
        <f>AVERAGE(B15:F15)</f>
        <v>15.4</v>
      </c>
      <c r="H15" s="541">
        <v>19</v>
      </c>
      <c r="I15" s="706">
        <f>(H15+F15+E15+D15+C15)/5</f>
        <v>16.8</v>
      </c>
      <c r="J15" s="541">
        <v>21</v>
      </c>
      <c r="K15" s="706">
        <f>(J15+H15+F15+E15+D15)/5</f>
        <v>18.2</v>
      </c>
      <c r="L15" s="541">
        <v>14</v>
      </c>
      <c r="M15" s="706">
        <f>(L15+J15+H15+F15+E15)/5</f>
        <v>18.399999999999999</v>
      </c>
      <c r="N15" s="541">
        <f>8+5</f>
        <v>13</v>
      </c>
      <c r="O15" s="785">
        <f>(+N15+L15+J15+H15+F15)/5</f>
        <v>18.2</v>
      </c>
      <c r="P15" s="715">
        <v>16</v>
      </c>
      <c r="Q15" s="792">
        <f t="shared" ref="Q15:Q22" si="13">(P15+N15+L15+J15+H15)/5</f>
        <v>16.600000000000001</v>
      </c>
      <c r="R15" s="715">
        <v>10</v>
      </c>
      <c r="S15" s="792">
        <f t="shared" ref="S15:S22" si="14">(R15+P15+N15+L15+J15)/5</f>
        <v>14.8</v>
      </c>
      <c r="T15" s="715">
        <v>6</v>
      </c>
      <c r="U15" s="792">
        <f t="shared" ref="U15:U22" si="15">(T15+R15+P15+N15+L15)/5</f>
        <v>11.8</v>
      </c>
      <c r="V15" s="715">
        <v>16</v>
      </c>
      <c r="W15" s="792">
        <f t="shared" ref="W15:W22" si="16">(V15+T15+R15+P15+N15)/5</f>
        <v>12.2</v>
      </c>
      <c r="X15" s="715">
        <v>24</v>
      </c>
      <c r="Y15" s="792">
        <f t="shared" ref="Y15:Y22" si="17">(X15+V15+T15+R15+P15)/5</f>
        <v>14.4</v>
      </c>
      <c r="Z15" s="715">
        <v>23</v>
      </c>
      <c r="AA15" s="792">
        <f t="shared" ref="AA15:AA22" si="18">(Z15+X15+V15+T15+R15)/5</f>
        <v>15.8</v>
      </c>
      <c r="AB15" s="715">
        <v>20</v>
      </c>
      <c r="AC15" s="792">
        <f t="shared" ref="AC15:AC22" si="19">(AB15+Z15+X15+V15+T15)/5</f>
        <v>17.8</v>
      </c>
      <c r="AD15" s="715">
        <v>16</v>
      </c>
      <c r="AE15" s="792">
        <f t="shared" ref="AE15:AE22" si="20">(AD15+AB15+Z15+X15+V15)/5</f>
        <v>19.8</v>
      </c>
    </row>
    <row r="16" spans="1:32" ht="18" customHeight="1" x14ac:dyDescent="0.3">
      <c r="A16" s="678" t="s">
        <v>1083</v>
      </c>
      <c r="B16" s="541">
        <v>26</v>
      </c>
      <c r="C16" s="541">
        <v>33</v>
      </c>
      <c r="D16" s="541">
        <v>31</v>
      </c>
      <c r="E16" s="541">
        <v>35</v>
      </c>
      <c r="F16" s="541">
        <v>19</v>
      </c>
      <c r="G16" s="706">
        <f>AVERAGE(B16:F16)</f>
        <v>28.8</v>
      </c>
      <c r="H16" s="541">
        <v>15</v>
      </c>
      <c r="I16" s="706">
        <f>(H16+F16+E16+D16+C16)/5</f>
        <v>26.6</v>
      </c>
      <c r="J16" s="541">
        <v>15</v>
      </c>
      <c r="K16" s="706">
        <f>(J16+H16+F16+E16+D16)/5</f>
        <v>23</v>
      </c>
      <c r="L16" s="541">
        <v>9</v>
      </c>
      <c r="M16" s="706">
        <f>(L16+J16+H16+F16+E16)/5</f>
        <v>18.600000000000001</v>
      </c>
      <c r="N16" s="541">
        <f>3+2</f>
        <v>5</v>
      </c>
      <c r="O16" s="785">
        <f>(+N16+L16+J16+H16+F16)/5</f>
        <v>12.6</v>
      </c>
      <c r="P16" s="715">
        <v>2</v>
      </c>
      <c r="Q16" s="792">
        <f t="shared" si="13"/>
        <v>9.1999999999999993</v>
      </c>
      <c r="R16" s="715">
        <v>1</v>
      </c>
      <c r="S16" s="792">
        <f t="shared" si="14"/>
        <v>6.4</v>
      </c>
      <c r="T16" s="715">
        <v>1</v>
      </c>
      <c r="U16" s="792">
        <f t="shared" si="15"/>
        <v>3.6</v>
      </c>
      <c r="V16" s="715">
        <v>0</v>
      </c>
      <c r="W16" s="792">
        <f t="shared" si="16"/>
        <v>1.8</v>
      </c>
      <c r="X16" s="715">
        <v>0</v>
      </c>
      <c r="Y16" s="792">
        <f t="shared" si="17"/>
        <v>0.8</v>
      </c>
      <c r="Z16" s="715">
        <v>0</v>
      </c>
      <c r="AA16" s="792">
        <f t="shared" si="18"/>
        <v>0.4</v>
      </c>
      <c r="AB16" s="715">
        <v>0</v>
      </c>
      <c r="AC16" s="792">
        <f t="shared" si="19"/>
        <v>0.2</v>
      </c>
      <c r="AD16" s="715">
        <v>0</v>
      </c>
      <c r="AE16" s="792">
        <f t="shared" si="20"/>
        <v>0</v>
      </c>
    </row>
    <row r="17" spans="1:31" ht="18" customHeight="1" x14ac:dyDescent="0.3">
      <c r="A17" s="680" t="s">
        <v>1087</v>
      </c>
      <c r="B17" s="541">
        <v>0</v>
      </c>
      <c r="C17" s="541">
        <v>0</v>
      </c>
      <c r="D17" s="541">
        <v>1</v>
      </c>
      <c r="E17" s="541">
        <v>15</v>
      </c>
      <c r="F17" s="541">
        <v>23</v>
      </c>
      <c r="G17" s="706">
        <f>AVERAGE(B17:F17)</f>
        <v>7.8</v>
      </c>
      <c r="H17" s="541">
        <v>38</v>
      </c>
      <c r="I17" s="706">
        <f>(H17+F17+E17+D17+C17)/5</f>
        <v>15.4</v>
      </c>
      <c r="J17" s="541">
        <v>38</v>
      </c>
      <c r="K17" s="706">
        <f>(J17+H17+F17+E17+D17)/5</f>
        <v>23</v>
      </c>
      <c r="L17" s="541">
        <v>26</v>
      </c>
      <c r="M17" s="706">
        <f>(L17+J17+H17+F17+E17)/5</f>
        <v>28</v>
      </c>
      <c r="N17" s="541">
        <f>6+10</f>
        <v>16</v>
      </c>
      <c r="O17" s="785">
        <f>(+N17+L17+J17+H17+F17)/5</f>
        <v>28.2</v>
      </c>
      <c r="P17" s="715">
        <v>5</v>
      </c>
      <c r="Q17" s="792">
        <f t="shared" si="13"/>
        <v>24.6</v>
      </c>
      <c r="R17" s="715">
        <v>15</v>
      </c>
      <c r="S17" s="792">
        <f t="shared" si="14"/>
        <v>20</v>
      </c>
      <c r="T17" s="715">
        <v>14</v>
      </c>
      <c r="U17" s="792">
        <f t="shared" si="15"/>
        <v>15.2</v>
      </c>
      <c r="V17" s="715">
        <v>23</v>
      </c>
      <c r="W17" s="792">
        <f t="shared" si="16"/>
        <v>14.6</v>
      </c>
      <c r="X17" s="715">
        <v>24</v>
      </c>
      <c r="Y17" s="792">
        <f t="shared" si="17"/>
        <v>16.2</v>
      </c>
      <c r="Z17" s="715">
        <v>18</v>
      </c>
      <c r="AA17" s="792">
        <f t="shared" si="18"/>
        <v>18.8</v>
      </c>
      <c r="AB17" s="715">
        <v>13</v>
      </c>
      <c r="AC17" s="792">
        <f t="shared" si="19"/>
        <v>18.399999999999999</v>
      </c>
      <c r="AD17" s="715">
        <v>19</v>
      </c>
      <c r="AE17" s="792">
        <f t="shared" si="20"/>
        <v>19.399999999999999</v>
      </c>
    </row>
    <row r="18" spans="1:31" ht="18" customHeight="1" x14ac:dyDescent="0.3">
      <c r="A18" s="678" t="s">
        <v>1084</v>
      </c>
      <c r="B18" s="541">
        <v>25</v>
      </c>
      <c r="C18" s="541">
        <v>25</v>
      </c>
      <c r="D18" s="541">
        <v>37</v>
      </c>
      <c r="E18" s="541">
        <v>28</v>
      </c>
      <c r="F18" s="541">
        <v>35</v>
      </c>
      <c r="G18" s="706">
        <f>AVERAGE(B18:F18)</f>
        <v>30</v>
      </c>
      <c r="H18" s="541">
        <v>33</v>
      </c>
      <c r="I18" s="706">
        <f>(H18+F18+E18+D18+C18)/5</f>
        <v>31.6</v>
      </c>
      <c r="J18" s="541">
        <f>13+5</f>
        <v>18</v>
      </c>
      <c r="K18" s="706">
        <f>(J18+H18+F18+E18+D18)/5</f>
        <v>30.2</v>
      </c>
      <c r="L18" s="541">
        <f>4+10+19</f>
        <v>33</v>
      </c>
      <c r="M18" s="706">
        <f>(L18+J18+H18+F18+E18)/5</f>
        <v>29.4</v>
      </c>
      <c r="N18" s="541">
        <f>20+4+13</f>
        <v>37</v>
      </c>
      <c r="O18" s="785">
        <f>(+N18+L18+J18+H18+F18)/5</f>
        <v>31.2</v>
      </c>
      <c r="P18" s="715">
        <v>10</v>
      </c>
      <c r="Q18" s="792">
        <f t="shared" si="13"/>
        <v>26.2</v>
      </c>
      <c r="R18" s="715">
        <v>5</v>
      </c>
      <c r="S18" s="792">
        <f t="shared" si="14"/>
        <v>20.6</v>
      </c>
      <c r="T18" s="715">
        <v>7</v>
      </c>
      <c r="U18" s="792">
        <f t="shared" si="15"/>
        <v>18.399999999999999</v>
      </c>
      <c r="V18" s="715">
        <v>4</v>
      </c>
      <c r="W18" s="792">
        <f t="shared" si="16"/>
        <v>12.6</v>
      </c>
      <c r="X18" s="715">
        <v>1</v>
      </c>
      <c r="Y18" s="792">
        <f t="shared" si="17"/>
        <v>5.4</v>
      </c>
      <c r="Z18" s="715">
        <v>0</v>
      </c>
      <c r="AA18" s="792">
        <f t="shared" si="18"/>
        <v>3.4</v>
      </c>
      <c r="AB18" s="715">
        <v>0</v>
      </c>
      <c r="AC18" s="792">
        <f t="shared" si="19"/>
        <v>2.4</v>
      </c>
      <c r="AD18" s="715">
        <v>0</v>
      </c>
      <c r="AE18" s="792">
        <f t="shared" si="20"/>
        <v>1</v>
      </c>
    </row>
    <row r="19" spans="1:31" ht="18" customHeight="1" x14ac:dyDescent="0.3">
      <c r="A19" s="540" t="s">
        <v>248</v>
      </c>
      <c r="B19" s="541"/>
      <c r="C19" s="541"/>
      <c r="D19" s="541"/>
      <c r="E19" s="541"/>
      <c r="F19" s="541"/>
      <c r="G19" s="706"/>
      <c r="H19" s="541"/>
      <c r="I19" s="706"/>
      <c r="J19" s="541"/>
      <c r="K19" s="706"/>
      <c r="L19" s="541"/>
      <c r="M19" s="706"/>
      <c r="N19" s="541">
        <v>0</v>
      </c>
      <c r="O19" s="785"/>
      <c r="P19" s="715">
        <v>27</v>
      </c>
      <c r="Q19" s="792">
        <f t="shared" si="13"/>
        <v>5.4</v>
      </c>
      <c r="R19" s="715">
        <v>31</v>
      </c>
      <c r="S19" s="792">
        <f t="shared" si="14"/>
        <v>11.6</v>
      </c>
      <c r="T19" s="715">
        <v>24</v>
      </c>
      <c r="U19" s="792">
        <f t="shared" si="15"/>
        <v>16.399999999999999</v>
      </c>
      <c r="V19" s="715">
        <v>17</v>
      </c>
      <c r="W19" s="792">
        <f t="shared" si="16"/>
        <v>19.8</v>
      </c>
      <c r="X19" s="715">
        <v>25</v>
      </c>
      <c r="Y19" s="792">
        <f t="shared" si="17"/>
        <v>24.8</v>
      </c>
      <c r="Z19" s="715">
        <v>23</v>
      </c>
      <c r="AA19" s="792">
        <f t="shared" si="18"/>
        <v>24</v>
      </c>
      <c r="AB19" s="715">
        <v>30</v>
      </c>
      <c r="AC19" s="792">
        <f t="shared" si="19"/>
        <v>23.8</v>
      </c>
      <c r="AD19" s="715">
        <v>38</v>
      </c>
      <c r="AE19" s="792">
        <f t="shared" si="20"/>
        <v>26.6</v>
      </c>
    </row>
    <row r="20" spans="1:31" ht="18" customHeight="1" x14ac:dyDescent="0.3">
      <c r="A20" s="681" t="s">
        <v>1085</v>
      </c>
      <c r="B20" s="541">
        <v>40</v>
      </c>
      <c r="C20" s="541">
        <v>36</v>
      </c>
      <c r="D20" s="541">
        <v>25</v>
      </c>
      <c r="E20" s="541">
        <v>27</v>
      </c>
      <c r="F20" s="541">
        <v>18</v>
      </c>
      <c r="G20" s="706">
        <f>AVERAGE(B20:F20)</f>
        <v>29.2</v>
      </c>
      <c r="H20" s="541">
        <v>23</v>
      </c>
      <c r="I20" s="706">
        <f>(H20+F20+E20+D20+C20)/5</f>
        <v>25.8</v>
      </c>
      <c r="J20" s="541">
        <v>25</v>
      </c>
      <c r="K20" s="706">
        <f>(J20+H20+F20+E20+D20)/5</f>
        <v>23.6</v>
      </c>
      <c r="L20" s="541">
        <v>31</v>
      </c>
      <c r="M20" s="706">
        <f>(L20+J20+H20+F20+E20)/5</f>
        <v>24.8</v>
      </c>
      <c r="N20" s="541">
        <v>32</v>
      </c>
      <c r="O20" s="785">
        <f>(+N20+L20+J20+H20+F20)/5</f>
        <v>25.8</v>
      </c>
      <c r="P20" s="715">
        <v>33</v>
      </c>
      <c r="Q20" s="792">
        <f t="shared" si="13"/>
        <v>28.8</v>
      </c>
      <c r="R20" s="715">
        <v>19</v>
      </c>
      <c r="S20" s="792">
        <f t="shared" si="14"/>
        <v>28</v>
      </c>
      <c r="T20" s="715">
        <v>15</v>
      </c>
      <c r="U20" s="792">
        <f t="shared" si="15"/>
        <v>26</v>
      </c>
      <c r="V20" s="715">
        <v>21</v>
      </c>
      <c r="W20" s="792">
        <f t="shared" si="16"/>
        <v>24</v>
      </c>
      <c r="X20" s="715">
        <v>28</v>
      </c>
      <c r="Y20" s="792">
        <f t="shared" si="17"/>
        <v>23.2</v>
      </c>
      <c r="Z20" s="715">
        <v>34</v>
      </c>
      <c r="AA20" s="792">
        <f t="shared" si="18"/>
        <v>23.4</v>
      </c>
      <c r="AB20" s="715">
        <v>28</v>
      </c>
      <c r="AC20" s="792">
        <f t="shared" si="19"/>
        <v>25.2</v>
      </c>
      <c r="AD20" s="715">
        <v>33</v>
      </c>
      <c r="AE20" s="792">
        <f t="shared" si="20"/>
        <v>28.8</v>
      </c>
    </row>
    <row r="21" spans="1:31" ht="18" customHeight="1" x14ac:dyDescent="0.3">
      <c r="A21" s="678" t="s">
        <v>1088</v>
      </c>
      <c r="B21" s="541">
        <v>33</v>
      </c>
      <c r="C21" s="541">
        <v>33</v>
      </c>
      <c r="D21" s="541">
        <v>30</v>
      </c>
      <c r="E21" s="541">
        <v>31</v>
      </c>
      <c r="F21" s="541">
        <v>30</v>
      </c>
      <c r="G21" s="706">
        <f>AVERAGE(B21:F21)</f>
        <v>31.4</v>
      </c>
      <c r="H21" s="541">
        <v>25</v>
      </c>
      <c r="I21" s="706">
        <f>(H21+F21+E21+D21+C21)/5</f>
        <v>29.8</v>
      </c>
      <c r="J21" s="541">
        <v>20</v>
      </c>
      <c r="K21" s="706">
        <f>(J21+H21+F21+E21+D21)/5</f>
        <v>27.2</v>
      </c>
      <c r="L21" s="541">
        <v>20</v>
      </c>
      <c r="M21" s="706">
        <f>(L21+J21+H21+F21+E21)/5</f>
        <v>25.2</v>
      </c>
      <c r="N21" s="541">
        <v>27</v>
      </c>
      <c r="O21" s="785">
        <f>(+N21+L21+J21+H21+F21)/5</f>
        <v>24.4</v>
      </c>
      <c r="P21" s="715">
        <v>34</v>
      </c>
      <c r="Q21" s="792">
        <f t="shared" si="13"/>
        <v>25.2</v>
      </c>
      <c r="R21" s="715">
        <v>32</v>
      </c>
      <c r="S21" s="792">
        <f t="shared" si="14"/>
        <v>26.6</v>
      </c>
      <c r="T21" s="715">
        <v>31</v>
      </c>
      <c r="U21" s="792">
        <f t="shared" si="15"/>
        <v>28.8</v>
      </c>
      <c r="V21" s="715">
        <v>29</v>
      </c>
      <c r="W21" s="792">
        <f t="shared" si="16"/>
        <v>30.6</v>
      </c>
      <c r="X21" s="715">
        <v>26</v>
      </c>
      <c r="Y21" s="792">
        <f t="shared" si="17"/>
        <v>30.4</v>
      </c>
      <c r="Z21" s="715">
        <v>28</v>
      </c>
      <c r="AA21" s="792">
        <f t="shared" si="18"/>
        <v>29.2</v>
      </c>
      <c r="AB21" s="715">
        <v>24</v>
      </c>
      <c r="AC21" s="792">
        <f t="shared" si="19"/>
        <v>27.6</v>
      </c>
      <c r="AD21" s="715">
        <v>23</v>
      </c>
      <c r="AE21" s="792">
        <f t="shared" si="20"/>
        <v>26</v>
      </c>
    </row>
    <row r="22" spans="1:31" ht="18" customHeight="1" x14ac:dyDescent="0.3">
      <c r="A22" s="679" t="s">
        <v>961</v>
      </c>
      <c r="B22" s="541">
        <f>SUM(B15:B21)</f>
        <v>136</v>
      </c>
      <c r="C22" s="541">
        <f>SUM(C15:C21)</f>
        <v>141</v>
      </c>
      <c r="D22" s="541">
        <f>SUM(D15:D21)</f>
        <v>137</v>
      </c>
      <c r="E22" s="541">
        <f>SUM(E15:E21)</f>
        <v>150</v>
      </c>
      <c r="F22" s="541">
        <f>SUM(F15:F21)</f>
        <v>149</v>
      </c>
      <c r="G22" s="706">
        <f>AVERAGE(B22:F22)</f>
        <v>142.6</v>
      </c>
      <c r="H22" s="541">
        <f>SUM(H15:H21)</f>
        <v>153</v>
      </c>
      <c r="I22" s="706">
        <f>(H22+F22+E22+D22+C22)/5</f>
        <v>146</v>
      </c>
      <c r="J22" s="541">
        <f>SUM(J15:J21)</f>
        <v>137</v>
      </c>
      <c r="K22" s="706">
        <f>(J22+H22+F22+E22+D22)/5</f>
        <v>145.19999999999999</v>
      </c>
      <c r="L22" s="541">
        <f>SUM(L15:L21)</f>
        <v>133</v>
      </c>
      <c r="M22" s="706">
        <f>(L22+J22+H22+F22+E22)/5</f>
        <v>144.4</v>
      </c>
      <c r="N22" s="541">
        <f>SUM(N15:N21)</f>
        <v>130</v>
      </c>
      <c r="O22" s="785">
        <f>(+N22+L22+J22+H22+F22)/5</f>
        <v>140.4</v>
      </c>
      <c r="P22" s="715">
        <f>SUM(P15:P21)</f>
        <v>127</v>
      </c>
      <c r="Q22" s="792">
        <f t="shared" si="13"/>
        <v>136</v>
      </c>
      <c r="R22" s="715">
        <f>SUM(R15:R21)</f>
        <v>113</v>
      </c>
      <c r="S22" s="792">
        <f t="shared" si="14"/>
        <v>128</v>
      </c>
      <c r="T22" s="715">
        <f>SUM(T15:T21)</f>
        <v>98</v>
      </c>
      <c r="U22" s="792">
        <f t="shared" si="15"/>
        <v>120.2</v>
      </c>
      <c r="V22" s="715">
        <f>SUM(V15:V21)</f>
        <v>110</v>
      </c>
      <c r="W22" s="792">
        <f t="shared" si="16"/>
        <v>115.6</v>
      </c>
      <c r="X22" s="715">
        <f>SUM(X15:X21)</f>
        <v>128</v>
      </c>
      <c r="Y22" s="792">
        <f t="shared" si="17"/>
        <v>115.2</v>
      </c>
      <c r="Z22" s="715">
        <f>SUM(Z15:Z21)</f>
        <v>126</v>
      </c>
      <c r="AA22" s="792">
        <f t="shared" si="18"/>
        <v>115</v>
      </c>
      <c r="AB22" s="715">
        <f>SUM(AB15:AB21)</f>
        <v>115</v>
      </c>
      <c r="AC22" s="792">
        <f t="shared" si="19"/>
        <v>115.4</v>
      </c>
      <c r="AD22" s="715">
        <f>SUM(AD15:AD21)</f>
        <v>129</v>
      </c>
      <c r="AE22" s="792">
        <f t="shared" si="20"/>
        <v>121.6</v>
      </c>
    </row>
    <row r="23" spans="1:31" ht="18" customHeight="1" x14ac:dyDescent="0.3">
      <c r="A23" s="677" t="s">
        <v>404</v>
      </c>
      <c r="B23" s="537"/>
      <c r="C23" s="537"/>
      <c r="D23" s="537"/>
      <c r="E23" s="537"/>
      <c r="F23" s="537"/>
      <c r="G23" s="708"/>
      <c r="H23" s="537"/>
      <c r="I23" s="708"/>
      <c r="J23" s="537"/>
      <c r="K23" s="708"/>
      <c r="L23" s="537"/>
      <c r="M23" s="705"/>
      <c r="N23" s="537"/>
      <c r="O23" s="786"/>
      <c r="P23" s="552"/>
      <c r="Q23" s="552"/>
      <c r="R23" s="552"/>
      <c r="S23" s="552"/>
      <c r="T23" s="552"/>
      <c r="U23" s="552"/>
      <c r="V23" s="552"/>
      <c r="W23" s="552"/>
      <c r="X23" s="552"/>
      <c r="Y23" s="552"/>
      <c r="Z23" s="552"/>
      <c r="AA23" s="552"/>
      <c r="AB23" s="552"/>
      <c r="AC23" s="552"/>
      <c r="AD23" s="552"/>
      <c r="AE23" s="552"/>
    </row>
    <row r="24" spans="1:31" ht="18" customHeight="1" x14ac:dyDescent="0.3">
      <c r="A24" s="678" t="s">
        <v>996</v>
      </c>
      <c r="B24" s="541">
        <v>150</v>
      </c>
      <c r="C24" s="541">
        <v>122</v>
      </c>
      <c r="D24" s="541">
        <v>118</v>
      </c>
      <c r="E24" s="541">
        <v>93</v>
      </c>
      <c r="F24" s="541">
        <v>74</v>
      </c>
      <c r="G24" s="706">
        <f>AVERAGE(B24:F24)</f>
        <v>111.4</v>
      </c>
      <c r="H24" s="541">
        <f>65+17</f>
        <v>82</v>
      </c>
      <c r="I24" s="706">
        <f>(H24+F24+E24+D24+C24)/5</f>
        <v>97.8</v>
      </c>
      <c r="J24" s="541">
        <v>70</v>
      </c>
      <c r="K24" s="706">
        <f>(J24+H24+F24+E24+D24)/5</f>
        <v>87.4</v>
      </c>
      <c r="L24" s="541">
        <v>91</v>
      </c>
      <c r="M24" s="706">
        <f>(L24+J24+H24+F24+E24)/5</f>
        <v>82</v>
      </c>
      <c r="N24" s="541">
        <v>113</v>
      </c>
      <c r="O24" s="785">
        <f>(+N24+L24+J24+H24+F24)/5</f>
        <v>86</v>
      </c>
      <c r="P24" s="715">
        <v>115</v>
      </c>
      <c r="Q24" s="792">
        <f>(P24+N24+L24+J24+H24)/5</f>
        <v>94.2</v>
      </c>
      <c r="R24" s="715">
        <v>116</v>
      </c>
      <c r="S24" s="792">
        <f>(R24+P24+N24+L24+J24)/5</f>
        <v>101</v>
      </c>
      <c r="T24" s="715">
        <v>112</v>
      </c>
      <c r="U24" s="792">
        <f>(T24+R24+P24+N24+L24)/5</f>
        <v>109.4</v>
      </c>
      <c r="V24" s="715">
        <v>126</v>
      </c>
      <c r="W24" s="792">
        <f>(V24+T24+R24+P24+N24)/5</f>
        <v>116.4</v>
      </c>
      <c r="X24" s="715">
        <v>165</v>
      </c>
      <c r="Y24" s="792">
        <f>(X24+V24+T24+R24+P24)/5</f>
        <v>126.8</v>
      </c>
      <c r="Z24" s="715">
        <v>175</v>
      </c>
      <c r="AA24" s="792">
        <f>(Z24+X24+V24+T24+R24)/5</f>
        <v>138.80000000000001</v>
      </c>
      <c r="AB24" s="715">
        <v>176</v>
      </c>
      <c r="AC24" s="792">
        <f>(AB24+Z24+X24+V24+T24)/5</f>
        <v>150.80000000000001</v>
      </c>
      <c r="AD24" s="715">
        <v>200</v>
      </c>
      <c r="AE24" s="792">
        <f>(AD24+AB24+Z24+X24+V24)/5</f>
        <v>168.4</v>
      </c>
    </row>
    <row r="25" spans="1:31" ht="18" customHeight="1" x14ac:dyDescent="0.3">
      <c r="A25" s="678" t="s">
        <v>1089</v>
      </c>
      <c r="B25" s="541">
        <v>1</v>
      </c>
      <c r="C25" s="541">
        <v>5</v>
      </c>
      <c r="D25" s="541">
        <v>1</v>
      </c>
      <c r="E25" s="541">
        <v>2</v>
      </c>
      <c r="F25" s="541">
        <v>1</v>
      </c>
      <c r="G25" s="706">
        <f>AVERAGE(B25:F25)</f>
        <v>2</v>
      </c>
      <c r="H25" s="541">
        <v>2</v>
      </c>
      <c r="I25" s="706">
        <f>(H25+F25+E25+D25+C25)/5</f>
        <v>2.2000000000000002</v>
      </c>
      <c r="J25" s="541">
        <v>0</v>
      </c>
      <c r="K25" s="706">
        <f>(J25+H25+F25+E25+D25)/5</f>
        <v>1.2</v>
      </c>
      <c r="L25" s="541">
        <v>0</v>
      </c>
      <c r="M25" s="706">
        <f>(L25+J25+H25+F25+E25)/5</f>
        <v>1</v>
      </c>
      <c r="N25" s="541">
        <v>0</v>
      </c>
      <c r="O25" s="785">
        <f>(+N25+L25+J25+H25+F25)/5</f>
        <v>0.6</v>
      </c>
      <c r="P25" s="715">
        <v>0</v>
      </c>
      <c r="Q25" s="792">
        <f>(P25+N25+L25+J25+H25)/5</f>
        <v>0.4</v>
      </c>
      <c r="R25" s="715">
        <v>0</v>
      </c>
      <c r="S25" s="792">
        <f>(R25+P25+N25+L25+J25)/5</f>
        <v>0</v>
      </c>
      <c r="T25" s="715">
        <v>0</v>
      </c>
      <c r="U25" s="792">
        <f>(T25+R25+P25+N25+L25)/5</f>
        <v>0</v>
      </c>
      <c r="V25" s="715">
        <v>0</v>
      </c>
      <c r="W25" s="792">
        <f>(V25+T25+R25+P25+N25)/5</f>
        <v>0</v>
      </c>
      <c r="X25" s="715">
        <v>0</v>
      </c>
      <c r="Y25" s="792">
        <f>(X25+V25+T25+R25+P25)/5</f>
        <v>0</v>
      </c>
      <c r="Z25" s="715">
        <v>0</v>
      </c>
      <c r="AA25" s="792">
        <f>(Z25+X25+V25+T25+R25)/5</f>
        <v>0</v>
      </c>
      <c r="AB25" s="715">
        <v>0</v>
      </c>
      <c r="AC25" s="792">
        <f>(AB25+Z25+X25+V25+T25)/5</f>
        <v>0</v>
      </c>
      <c r="AD25" s="715">
        <v>0</v>
      </c>
      <c r="AE25" s="792">
        <f>(AD25+AB25+Z25+X25+V25)/5</f>
        <v>0</v>
      </c>
    </row>
    <row r="26" spans="1:31" ht="18" customHeight="1" x14ac:dyDescent="0.3">
      <c r="A26" s="678" t="s">
        <v>1318</v>
      </c>
      <c r="B26" s="541">
        <v>0</v>
      </c>
      <c r="C26" s="541">
        <v>0</v>
      </c>
      <c r="D26" s="541">
        <v>0</v>
      </c>
      <c r="E26" s="541">
        <v>0</v>
      </c>
      <c r="F26" s="541">
        <v>0</v>
      </c>
      <c r="G26" s="706">
        <f>AVERAGE(B26:F26)</f>
        <v>0</v>
      </c>
      <c r="H26" s="541">
        <v>0</v>
      </c>
      <c r="I26" s="706">
        <f>(H26+F26+E26+D26+C26)/5</f>
        <v>0</v>
      </c>
      <c r="J26" s="541">
        <v>31</v>
      </c>
      <c r="K26" s="706">
        <f>(J26+H26+F26+E26+D26)/5</f>
        <v>6.2</v>
      </c>
      <c r="L26" s="541">
        <v>31</v>
      </c>
      <c r="M26" s="706">
        <f>(L26+J26+H26+F26+E26)/5</f>
        <v>12.4</v>
      </c>
      <c r="N26" s="541">
        <v>31</v>
      </c>
      <c r="O26" s="785">
        <f>(+N26+L26+J26+H26+F26)/5</f>
        <v>18.600000000000001</v>
      </c>
      <c r="P26" s="715">
        <v>28</v>
      </c>
      <c r="Q26" s="792">
        <f>(P26+N26+L26+J26+H26)/5</f>
        <v>24.2</v>
      </c>
      <c r="R26" s="715">
        <v>37</v>
      </c>
      <c r="S26" s="792">
        <f>(R26+P26+N26+L26+J26)/5</f>
        <v>31.6</v>
      </c>
      <c r="T26" s="715">
        <v>51</v>
      </c>
      <c r="U26" s="792">
        <f>(T26+R26+P26+N26+L26)/5</f>
        <v>35.6</v>
      </c>
      <c r="V26" s="715">
        <v>35</v>
      </c>
      <c r="W26" s="792">
        <f>(V26+T26+R26+P26+N26)/5</f>
        <v>36.4</v>
      </c>
      <c r="X26" s="715">
        <v>32</v>
      </c>
      <c r="Y26" s="792">
        <f>(X26+V26+T26+R26+P26)/5</f>
        <v>36.6</v>
      </c>
      <c r="Z26" s="715">
        <v>40</v>
      </c>
      <c r="AA26" s="792">
        <f>(Z26+X26+V26+T26+R26)/5</f>
        <v>39</v>
      </c>
      <c r="AB26" s="715">
        <v>51</v>
      </c>
      <c r="AC26" s="792">
        <f>(AB26+Z26+X26+V26+T26)/5</f>
        <v>41.8</v>
      </c>
      <c r="AD26" s="715">
        <v>44</v>
      </c>
      <c r="AE26" s="792">
        <f>(AD26+AB26+Z26+X26+V26)/5</f>
        <v>40.4</v>
      </c>
    </row>
    <row r="27" spans="1:31" ht="18" customHeight="1" x14ac:dyDescent="0.3">
      <c r="A27" s="678" t="s">
        <v>1090</v>
      </c>
      <c r="B27" s="541">
        <v>62</v>
      </c>
      <c r="C27" s="541">
        <v>67</v>
      </c>
      <c r="D27" s="541">
        <v>50</v>
      </c>
      <c r="E27" s="541">
        <v>48</v>
      </c>
      <c r="F27" s="541">
        <v>53</v>
      </c>
      <c r="G27" s="706">
        <f>AVERAGE(B27:F27)</f>
        <v>56</v>
      </c>
      <c r="H27" s="541">
        <v>33</v>
      </c>
      <c r="I27" s="706">
        <f>(H27+F27+E27+D27+C27)/5</f>
        <v>50.2</v>
      </c>
      <c r="J27" s="541">
        <v>63</v>
      </c>
      <c r="K27" s="706">
        <f>(J27+H27+F27+E27+D27)/5</f>
        <v>49.4</v>
      </c>
      <c r="L27" s="541">
        <v>76</v>
      </c>
      <c r="M27" s="706">
        <f>(L27+J27+H27+F27+E27)/5</f>
        <v>54.6</v>
      </c>
      <c r="N27" s="541">
        <v>118</v>
      </c>
      <c r="O27" s="785">
        <f>(+N27+L27+J27+H27+F27)/5</f>
        <v>68.599999999999994</v>
      </c>
      <c r="P27" s="715">
        <v>103</v>
      </c>
      <c r="Q27" s="792">
        <f>(P27+N27+L27+J27+H27)/5</f>
        <v>78.599999999999994</v>
      </c>
      <c r="R27" s="715">
        <v>116</v>
      </c>
      <c r="S27" s="792">
        <f>(R27+P27+N27+L27+J27)/5</f>
        <v>95.2</v>
      </c>
      <c r="T27" s="715">
        <v>55</v>
      </c>
      <c r="U27" s="792">
        <f>(T27+R27+P27+N27+L27)/5</f>
        <v>93.6</v>
      </c>
      <c r="V27" s="715">
        <v>81</v>
      </c>
      <c r="W27" s="792">
        <f>(V27+T27+R27+P27+N27)/5</f>
        <v>94.6</v>
      </c>
      <c r="X27" s="715">
        <v>80</v>
      </c>
      <c r="Y27" s="792">
        <f>(X27+V27+T27+R27+P27)/5</f>
        <v>87</v>
      </c>
      <c r="Z27" s="715">
        <v>77</v>
      </c>
      <c r="AA27" s="792">
        <f>(Z27+X27+V27+T27+R27)/5</f>
        <v>81.8</v>
      </c>
      <c r="AB27" s="715">
        <v>72</v>
      </c>
      <c r="AC27" s="792">
        <f>(AB27+Z27+X27+V27+T27)/5</f>
        <v>73</v>
      </c>
      <c r="AD27" s="715">
        <v>73</v>
      </c>
      <c r="AE27" s="792">
        <f>(AD27+AB27+Z27+X27+V27)/5</f>
        <v>76.599999999999994</v>
      </c>
    </row>
    <row r="28" spans="1:31" ht="18" customHeight="1" x14ac:dyDescent="0.3">
      <c r="A28" s="679" t="s">
        <v>961</v>
      </c>
      <c r="B28" s="541">
        <f>SUM(B24:B27)</f>
        <v>213</v>
      </c>
      <c r="C28" s="541">
        <f>SUM(C24:C27)</f>
        <v>194</v>
      </c>
      <c r="D28" s="541">
        <f>SUM(D24:D27)</f>
        <v>169</v>
      </c>
      <c r="E28" s="541">
        <f>SUM(E24:E27)</f>
        <v>143</v>
      </c>
      <c r="F28" s="541">
        <f>SUM(F24:F27)</f>
        <v>128</v>
      </c>
      <c r="G28" s="706">
        <f>AVERAGE(B28:F28)</f>
        <v>169.4</v>
      </c>
      <c r="H28" s="541">
        <f>SUM(H24:H27)</f>
        <v>117</v>
      </c>
      <c r="I28" s="706">
        <f>(H28+F28+E28+D28+C28)/5</f>
        <v>150.19999999999999</v>
      </c>
      <c r="J28" s="541">
        <f>SUM(J24:J27)</f>
        <v>164</v>
      </c>
      <c r="K28" s="706">
        <f>(J28+H28+F28+E28+D28)/5</f>
        <v>144.19999999999999</v>
      </c>
      <c r="L28" s="541">
        <f>SUM(L24:L27)</f>
        <v>198</v>
      </c>
      <c r="M28" s="706">
        <f>(L28+J28+H28+F28+E28)/5</f>
        <v>150</v>
      </c>
      <c r="N28" s="541">
        <f>SUM(N24:N27)</f>
        <v>262</v>
      </c>
      <c r="O28" s="785">
        <f>(+N28+L28+J28+H28+F28)/5</f>
        <v>173.8</v>
      </c>
      <c r="P28" s="715">
        <f>SUM(P24:P27)</f>
        <v>246</v>
      </c>
      <c r="Q28" s="792">
        <f>(P28+N28+L28+J28+H28)/5</f>
        <v>197.4</v>
      </c>
      <c r="R28" s="715">
        <f>SUM(R24:R27)</f>
        <v>269</v>
      </c>
      <c r="S28" s="792">
        <f>(R28+P28+N28+L28+J28)/5</f>
        <v>227.8</v>
      </c>
      <c r="T28" s="715">
        <f>SUM(T24:T27)</f>
        <v>218</v>
      </c>
      <c r="U28" s="792">
        <f>(T28+R28+P28+N28+L28)/5</f>
        <v>238.6</v>
      </c>
      <c r="V28" s="715">
        <f>SUM(V24:V27)</f>
        <v>242</v>
      </c>
      <c r="W28" s="792">
        <f>(V28+T28+R28+P28+N28)/5</f>
        <v>247.4</v>
      </c>
      <c r="X28" s="715">
        <f>SUM(X24:X27)</f>
        <v>277</v>
      </c>
      <c r="Y28" s="792">
        <f>(X28+V28+T28+R28+P28)/5</f>
        <v>250.4</v>
      </c>
      <c r="Z28" s="715">
        <f>SUM(Z24:Z27)</f>
        <v>292</v>
      </c>
      <c r="AA28" s="792">
        <f>(Z28+X28+V28+T28+R28)/5</f>
        <v>259.60000000000002</v>
      </c>
      <c r="AB28" s="715">
        <f>SUM(AB24:AB27)</f>
        <v>299</v>
      </c>
      <c r="AC28" s="792">
        <f>(AB28+Z28+X28+V28+T28)/5</f>
        <v>265.60000000000002</v>
      </c>
      <c r="AD28" s="715">
        <f>SUM(AD24:AD27)</f>
        <v>317</v>
      </c>
      <c r="AE28" s="792">
        <f>(AD28+AB28+Z28+X28+V28)/5</f>
        <v>285.39999999999998</v>
      </c>
    </row>
    <row r="29" spans="1:31" ht="18" customHeight="1" x14ac:dyDescent="0.3">
      <c r="A29" s="677" t="s">
        <v>405</v>
      </c>
      <c r="B29" s="537"/>
      <c r="C29" s="537"/>
      <c r="D29" s="537"/>
      <c r="E29" s="537"/>
      <c r="F29" s="537"/>
      <c r="G29" s="708"/>
      <c r="H29" s="537"/>
      <c r="I29" s="708"/>
      <c r="J29" s="537"/>
      <c r="K29" s="708"/>
      <c r="L29" s="537"/>
      <c r="M29" s="705"/>
      <c r="N29" s="537"/>
      <c r="O29" s="786"/>
      <c r="P29" s="552"/>
      <c r="Q29" s="552"/>
      <c r="R29" s="552"/>
      <c r="S29" s="552"/>
      <c r="T29" s="552"/>
      <c r="U29" s="552"/>
      <c r="V29" s="552"/>
      <c r="W29" s="552"/>
      <c r="X29" s="552"/>
      <c r="Y29" s="552"/>
      <c r="Z29" s="552"/>
      <c r="AA29" s="552"/>
      <c r="AB29" s="552"/>
      <c r="AC29" s="552"/>
      <c r="AD29" s="552"/>
      <c r="AE29" s="552"/>
    </row>
    <row r="30" spans="1:31" ht="18" customHeight="1" x14ac:dyDescent="0.3">
      <c r="A30" s="678" t="s">
        <v>1058</v>
      </c>
      <c r="B30" s="541">
        <v>35</v>
      </c>
      <c r="C30" s="541">
        <v>39</v>
      </c>
      <c r="D30" s="541">
        <v>25</v>
      </c>
      <c r="E30" s="541">
        <v>26</v>
      </c>
      <c r="F30" s="541">
        <v>24</v>
      </c>
      <c r="G30" s="706">
        <f t="shared" ref="G30:G35" si="21">AVERAGE(B30:F30)</f>
        <v>29.8</v>
      </c>
      <c r="H30" s="541">
        <v>25</v>
      </c>
      <c r="I30" s="706">
        <f t="shared" ref="I30:I35" si="22">(H30+F30+E30+D30+C30)/5</f>
        <v>27.8</v>
      </c>
      <c r="J30" s="541">
        <v>43</v>
      </c>
      <c r="K30" s="706">
        <f t="shared" ref="K30:K35" si="23">(J30+H30+F30+E30+D30)/5</f>
        <v>28.6</v>
      </c>
      <c r="L30" s="541">
        <v>46</v>
      </c>
      <c r="M30" s="706">
        <f t="shared" ref="M30:M35" si="24">(L30+J30+H30+F30+E30)/5</f>
        <v>32.799999999999997</v>
      </c>
      <c r="N30" s="541">
        <v>46</v>
      </c>
      <c r="O30" s="785">
        <f t="shared" ref="O30:O35" si="25">(+N30+L30+J30+H30+F30)/5</f>
        <v>36.799999999999997</v>
      </c>
      <c r="P30" s="715">
        <v>36</v>
      </c>
      <c r="Q30" s="792">
        <f t="shared" ref="Q30:Q35" si="26">(P30+N30+L30+J30+H30)/5</f>
        <v>39.200000000000003</v>
      </c>
      <c r="R30" s="715">
        <v>48</v>
      </c>
      <c r="S30" s="792">
        <f t="shared" ref="S30:S35" si="27">(R30+P30+N30+L30+J30)/5</f>
        <v>43.8</v>
      </c>
      <c r="T30" s="715">
        <v>47</v>
      </c>
      <c r="U30" s="792">
        <f t="shared" ref="U30:U35" si="28">(T30+R30+P30+N30+L30)/5</f>
        <v>44.6</v>
      </c>
      <c r="V30" s="715">
        <v>48</v>
      </c>
      <c r="W30" s="792">
        <f t="shared" ref="W30:W35" si="29">(V30+T30+R30+P30+N30)/5</f>
        <v>45</v>
      </c>
      <c r="X30" s="715">
        <v>58</v>
      </c>
      <c r="Y30" s="792">
        <f t="shared" ref="Y30:Y35" si="30">(X30+V30+T30+R30+P30)/5</f>
        <v>47.4</v>
      </c>
      <c r="Z30" s="715">
        <v>63</v>
      </c>
      <c r="AA30" s="792">
        <f t="shared" ref="AA30:AA35" si="31">(Z30+X30+V30+T30+R30)/5</f>
        <v>52.8</v>
      </c>
      <c r="AB30" s="715">
        <v>63</v>
      </c>
      <c r="AC30" s="792">
        <f t="shared" ref="AC30:AC35" si="32">(AB30+Z30+X30+V30+T30)/5</f>
        <v>55.8</v>
      </c>
      <c r="AD30" s="715">
        <v>47</v>
      </c>
      <c r="AE30" s="792">
        <f t="shared" ref="AE30:AE35" si="33">(AD30+AB30+Z30+X30+V30)/5</f>
        <v>55.8</v>
      </c>
    </row>
    <row r="31" spans="1:31" ht="18" customHeight="1" x14ac:dyDescent="0.3">
      <c r="A31" s="707" t="s">
        <v>1059</v>
      </c>
      <c r="B31" s="541">
        <v>10</v>
      </c>
      <c r="C31" s="541">
        <v>5</v>
      </c>
      <c r="D31" s="541">
        <v>4</v>
      </c>
      <c r="E31" s="541">
        <v>6</v>
      </c>
      <c r="F31" s="541">
        <v>4</v>
      </c>
      <c r="G31" s="706">
        <f t="shared" si="21"/>
        <v>5.8</v>
      </c>
      <c r="H31" s="541">
        <v>2</v>
      </c>
      <c r="I31" s="706">
        <f t="shared" si="22"/>
        <v>4.2</v>
      </c>
      <c r="J31" s="541">
        <v>6</v>
      </c>
      <c r="K31" s="706">
        <f t="shared" si="23"/>
        <v>4.4000000000000004</v>
      </c>
      <c r="L31" s="541">
        <v>6</v>
      </c>
      <c r="M31" s="706">
        <f t="shared" si="24"/>
        <v>4.8</v>
      </c>
      <c r="N31" s="541">
        <v>8</v>
      </c>
      <c r="O31" s="785">
        <f t="shared" si="25"/>
        <v>5.2</v>
      </c>
      <c r="P31" s="715">
        <v>6</v>
      </c>
      <c r="Q31" s="792">
        <f t="shared" si="26"/>
        <v>5.6</v>
      </c>
      <c r="R31" s="715">
        <v>8</v>
      </c>
      <c r="S31" s="792">
        <f t="shared" si="27"/>
        <v>6.8</v>
      </c>
      <c r="T31" s="715">
        <v>7</v>
      </c>
      <c r="U31" s="792">
        <f t="shared" si="28"/>
        <v>7</v>
      </c>
      <c r="V31" s="715">
        <v>4</v>
      </c>
      <c r="W31" s="792">
        <f t="shared" si="29"/>
        <v>6.6</v>
      </c>
      <c r="X31" s="715">
        <v>3</v>
      </c>
      <c r="Y31" s="792">
        <f t="shared" si="30"/>
        <v>5.6</v>
      </c>
      <c r="Z31" s="715">
        <v>2</v>
      </c>
      <c r="AA31" s="792">
        <f t="shared" si="31"/>
        <v>4.8</v>
      </c>
      <c r="AB31" s="715">
        <v>8</v>
      </c>
      <c r="AC31" s="792">
        <f t="shared" si="32"/>
        <v>4.8</v>
      </c>
      <c r="AD31" s="715">
        <v>6</v>
      </c>
      <c r="AE31" s="792">
        <f t="shared" si="33"/>
        <v>4.5999999999999996</v>
      </c>
    </row>
    <row r="32" spans="1:31" ht="18" customHeight="1" x14ac:dyDescent="0.3">
      <c r="A32" s="678" t="s">
        <v>1060</v>
      </c>
      <c r="B32" s="541">
        <v>0</v>
      </c>
      <c r="C32" s="541">
        <v>0</v>
      </c>
      <c r="D32" s="541">
        <v>13</v>
      </c>
      <c r="E32" s="541">
        <v>20</v>
      </c>
      <c r="F32" s="541">
        <v>23</v>
      </c>
      <c r="G32" s="706">
        <f t="shared" si="21"/>
        <v>11.2</v>
      </c>
      <c r="H32" s="541">
        <v>20</v>
      </c>
      <c r="I32" s="706">
        <f t="shared" si="22"/>
        <v>15.2</v>
      </c>
      <c r="J32" s="541">
        <v>22</v>
      </c>
      <c r="K32" s="706">
        <f t="shared" si="23"/>
        <v>19.600000000000001</v>
      </c>
      <c r="L32" s="541">
        <v>25</v>
      </c>
      <c r="M32" s="706">
        <f t="shared" si="24"/>
        <v>22</v>
      </c>
      <c r="N32" s="541">
        <v>21</v>
      </c>
      <c r="O32" s="785">
        <f t="shared" si="25"/>
        <v>22.2</v>
      </c>
      <c r="P32" s="715">
        <v>15</v>
      </c>
      <c r="Q32" s="792">
        <f t="shared" si="26"/>
        <v>20.6</v>
      </c>
      <c r="R32" s="715">
        <v>12</v>
      </c>
      <c r="S32" s="792">
        <f t="shared" si="27"/>
        <v>19</v>
      </c>
      <c r="T32" s="715">
        <v>10</v>
      </c>
      <c r="U32" s="792">
        <f t="shared" si="28"/>
        <v>16.600000000000001</v>
      </c>
      <c r="V32" s="715">
        <v>13</v>
      </c>
      <c r="W32" s="792">
        <f t="shared" si="29"/>
        <v>14.2</v>
      </c>
      <c r="X32" s="715">
        <v>12</v>
      </c>
      <c r="Y32" s="792">
        <f t="shared" si="30"/>
        <v>12.4</v>
      </c>
      <c r="Z32" s="715">
        <v>19</v>
      </c>
      <c r="AA32" s="792">
        <f t="shared" si="31"/>
        <v>13.2</v>
      </c>
      <c r="AB32" s="715">
        <v>22</v>
      </c>
      <c r="AC32" s="792">
        <f t="shared" si="32"/>
        <v>15.2</v>
      </c>
      <c r="AD32" s="715">
        <v>17</v>
      </c>
      <c r="AE32" s="792">
        <f t="shared" si="33"/>
        <v>16.600000000000001</v>
      </c>
    </row>
    <row r="33" spans="1:31" ht="18" customHeight="1" x14ac:dyDescent="0.3">
      <c r="A33" s="678" t="s">
        <v>1068</v>
      </c>
      <c r="B33" s="541">
        <v>1</v>
      </c>
      <c r="C33" s="541">
        <v>6</v>
      </c>
      <c r="D33" s="541">
        <v>0</v>
      </c>
      <c r="E33" s="541">
        <v>0</v>
      </c>
      <c r="F33" s="541">
        <v>0</v>
      </c>
      <c r="G33" s="706">
        <f t="shared" si="21"/>
        <v>1.4</v>
      </c>
      <c r="H33" s="541">
        <v>1</v>
      </c>
      <c r="I33" s="706">
        <f t="shared" si="22"/>
        <v>1.4</v>
      </c>
      <c r="J33" s="541">
        <v>1</v>
      </c>
      <c r="K33" s="706">
        <f t="shared" si="23"/>
        <v>0.4</v>
      </c>
      <c r="L33" s="541">
        <v>0</v>
      </c>
      <c r="M33" s="706">
        <f t="shared" si="24"/>
        <v>0.4</v>
      </c>
      <c r="N33" s="541">
        <v>0</v>
      </c>
      <c r="O33" s="785">
        <f t="shared" si="25"/>
        <v>0.4</v>
      </c>
      <c r="P33" s="715">
        <v>0</v>
      </c>
      <c r="Q33" s="792">
        <f t="shared" si="26"/>
        <v>0.4</v>
      </c>
      <c r="R33" s="715">
        <v>0</v>
      </c>
      <c r="S33" s="792">
        <f t="shared" si="27"/>
        <v>0.2</v>
      </c>
      <c r="T33" s="715">
        <v>0</v>
      </c>
      <c r="U33" s="792">
        <f t="shared" si="28"/>
        <v>0</v>
      </c>
      <c r="V33" s="715">
        <v>0</v>
      </c>
      <c r="W33" s="792">
        <f t="shared" si="29"/>
        <v>0</v>
      </c>
      <c r="X33" s="715">
        <v>0</v>
      </c>
      <c r="Y33" s="792">
        <f t="shared" si="30"/>
        <v>0</v>
      </c>
      <c r="Z33" s="715">
        <v>0</v>
      </c>
      <c r="AA33" s="792">
        <f t="shared" si="31"/>
        <v>0</v>
      </c>
      <c r="AB33" s="715">
        <v>0</v>
      </c>
      <c r="AC33" s="792">
        <f t="shared" si="32"/>
        <v>0</v>
      </c>
      <c r="AD33" s="715">
        <v>0</v>
      </c>
      <c r="AE33" s="792">
        <f t="shared" si="33"/>
        <v>0</v>
      </c>
    </row>
    <row r="34" spans="1:31" ht="18" customHeight="1" x14ac:dyDescent="0.3">
      <c r="A34" s="679" t="s">
        <v>961</v>
      </c>
      <c r="B34" s="541">
        <f>SUM(B30:B33)</f>
        <v>46</v>
      </c>
      <c r="C34" s="541">
        <f>SUM(C30:C33)</f>
        <v>50</v>
      </c>
      <c r="D34" s="541">
        <f>SUM(D30:D33)</f>
        <v>42</v>
      </c>
      <c r="E34" s="541">
        <f>SUM(E30:E33)</f>
        <v>52</v>
      </c>
      <c r="F34" s="541">
        <f>SUM(F30:F33)</f>
        <v>51</v>
      </c>
      <c r="G34" s="706">
        <f t="shared" si="21"/>
        <v>48.2</v>
      </c>
      <c r="H34" s="541">
        <f>SUM(H30:H33)</f>
        <v>48</v>
      </c>
      <c r="I34" s="706">
        <f t="shared" si="22"/>
        <v>48.6</v>
      </c>
      <c r="J34" s="541">
        <f>SUM(J30:J33)</f>
        <v>72</v>
      </c>
      <c r="K34" s="706">
        <f t="shared" si="23"/>
        <v>53</v>
      </c>
      <c r="L34" s="541">
        <f>SUM(L30:L33)</f>
        <v>77</v>
      </c>
      <c r="M34" s="706">
        <f t="shared" si="24"/>
        <v>60</v>
      </c>
      <c r="N34" s="541">
        <f>SUM(N30:N33)</f>
        <v>75</v>
      </c>
      <c r="O34" s="785">
        <f t="shared" si="25"/>
        <v>64.599999999999994</v>
      </c>
      <c r="P34" s="715">
        <f>SUM(P30:P33)</f>
        <v>57</v>
      </c>
      <c r="Q34" s="792">
        <f t="shared" si="26"/>
        <v>65.8</v>
      </c>
      <c r="R34" s="715">
        <f>SUM(R30:R33)</f>
        <v>68</v>
      </c>
      <c r="S34" s="792">
        <f t="shared" si="27"/>
        <v>69.8</v>
      </c>
      <c r="T34" s="715">
        <f>SUM(T30:T33)</f>
        <v>64</v>
      </c>
      <c r="U34" s="792">
        <f t="shared" si="28"/>
        <v>68.2</v>
      </c>
      <c r="V34" s="715">
        <f>SUM(V30:V33)</f>
        <v>65</v>
      </c>
      <c r="W34" s="792">
        <f t="shared" si="29"/>
        <v>65.8</v>
      </c>
      <c r="X34" s="715">
        <f>SUM(X30:X33)</f>
        <v>73</v>
      </c>
      <c r="Y34" s="792">
        <f t="shared" si="30"/>
        <v>65.400000000000006</v>
      </c>
      <c r="Z34" s="715">
        <f>SUM(Z30:Z33)</f>
        <v>84</v>
      </c>
      <c r="AA34" s="792">
        <f t="shared" si="31"/>
        <v>70.8</v>
      </c>
      <c r="AB34" s="715">
        <f>SUM(AB30:AB33)</f>
        <v>93</v>
      </c>
      <c r="AC34" s="792">
        <f t="shared" si="32"/>
        <v>75.8</v>
      </c>
      <c r="AD34" s="715">
        <f>SUM(AD30:AD33)</f>
        <v>70</v>
      </c>
      <c r="AE34" s="792">
        <f t="shared" si="33"/>
        <v>77</v>
      </c>
    </row>
    <row r="35" spans="1:31" ht="18" customHeight="1" thickBot="1" x14ac:dyDescent="0.35">
      <c r="A35" s="971" t="s">
        <v>406</v>
      </c>
      <c r="B35" s="972">
        <f>+B34+B28+B22+B13</f>
        <v>528</v>
      </c>
      <c r="C35" s="972">
        <f>+C34+C28+C22+C13</f>
        <v>514</v>
      </c>
      <c r="D35" s="972">
        <f>+D34+D28+D22+D13</f>
        <v>474</v>
      </c>
      <c r="E35" s="972">
        <f>+E34+E28+E22+E13</f>
        <v>464</v>
      </c>
      <c r="F35" s="972">
        <f>+F34+F28+F22+F13</f>
        <v>428</v>
      </c>
      <c r="G35" s="973">
        <f t="shared" si="21"/>
        <v>481.6</v>
      </c>
      <c r="H35" s="972">
        <f>+H34+H28+H22+H13</f>
        <v>402</v>
      </c>
      <c r="I35" s="973">
        <f t="shared" si="22"/>
        <v>456.4</v>
      </c>
      <c r="J35" s="972">
        <f>+J34+J28+J22+J13</f>
        <v>468</v>
      </c>
      <c r="K35" s="973">
        <f t="shared" si="23"/>
        <v>447.2</v>
      </c>
      <c r="L35" s="972">
        <f>+L34+L28+L22+L13</f>
        <v>497</v>
      </c>
      <c r="M35" s="973">
        <f t="shared" si="24"/>
        <v>451.8</v>
      </c>
      <c r="N35" s="972">
        <f>+N34+N28+N22+N13</f>
        <v>591</v>
      </c>
      <c r="O35" s="974">
        <f t="shared" si="25"/>
        <v>477.2</v>
      </c>
      <c r="P35" s="975">
        <f>+P34+P28+P22+P13</f>
        <v>550</v>
      </c>
      <c r="Q35" s="976">
        <f t="shared" si="26"/>
        <v>501.6</v>
      </c>
      <c r="R35" s="975">
        <f>+R34+R28+R22+R13</f>
        <v>558</v>
      </c>
      <c r="S35" s="976">
        <f t="shared" si="27"/>
        <v>532.79999999999995</v>
      </c>
      <c r="T35" s="975">
        <f>+T34+T28+T22+T13</f>
        <v>500</v>
      </c>
      <c r="U35" s="976">
        <f t="shared" si="28"/>
        <v>539.20000000000005</v>
      </c>
      <c r="V35" s="975">
        <f>+V34+V28+V22+V13</f>
        <v>544</v>
      </c>
      <c r="W35" s="976">
        <f t="shared" si="29"/>
        <v>548.6</v>
      </c>
      <c r="X35" s="975">
        <f>+X34+X28+X22+X13</f>
        <v>616</v>
      </c>
      <c r="Y35" s="976">
        <f t="shared" si="30"/>
        <v>553.6</v>
      </c>
      <c r="Z35" s="975">
        <f>+Z34+Z28+Z22+Z13</f>
        <v>665</v>
      </c>
      <c r="AA35" s="976">
        <f t="shared" si="31"/>
        <v>576.6</v>
      </c>
      <c r="AB35" s="975">
        <f>+AB34+AB28+AB22+AB13</f>
        <v>663</v>
      </c>
      <c r="AC35" s="976">
        <f t="shared" si="32"/>
        <v>597.6</v>
      </c>
      <c r="AD35" s="975">
        <f>+AD34+AD28+AD22+AD13</f>
        <v>665</v>
      </c>
      <c r="AE35" s="976">
        <f t="shared" si="33"/>
        <v>630.6</v>
      </c>
    </row>
    <row r="36" spans="1:31" ht="20.25" customHeight="1" thickBot="1" x14ac:dyDescent="0.35">
      <c r="A36" s="1718" t="s">
        <v>407</v>
      </c>
      <c r="B36" s="1719"/>
      <c r="C36" s="1719"/>
      <c r="D36" s="1719"/>
      <c r="E36" s="1719"/>
      <c r="F36" s="1719"/>
      <c r="G36" s="1719"/>
      <c r="H36" s="1719"/>
      <c r="I36" s="1719"/>
      <c r="J36" s="1719"/>
      <c r="K36" s="1719"/>
      <c r="L36" s="1719"/>
      <c r="M36" s="1719"/>
      <c r="N36" s="1719"/>
      <c r="O36" s="1719"/>
      <c r="P36" s="1719"/>
      <c r="Q36" s="1719"/>
      <c r="R36" s="1719"/>
      <c r="S36" s="1719"/>
      <c r="T36" s="1719"/>
      <c r="U36" s="1719"/>
      <c r="V36" s="1719"/>
      <c r="W36" s="1719"/>
      <c r="X36" s="1719"/>
      <c r="Y36" s="1719"/>
      <c r="Z36" s="1719"/>
      <c r="AA36" s="1719"/>
      <c r="AB36" s="1719"/>
      <c r="AC36" s="1719"/>
      <c r="AD36" s="1719"/>
      <c r="AE36" s="1720"/>
    </row>
    <row r="37" spans="1:31" ht="20.25" customHeight="1" x14ac:dyDescent="0.3">
      <c r="A37" s="675" t="s">
        <v>401</v>
      </c>
      <c r="B37" s="702">
        <v>1996</v>
      </c>
      <c r="C37" s="702">
        <v>1997</v>
      </c>
      <c r="D37" s="702">
        <v>1998</v>
      </c>
      <c r="E37" s="702">
        <v>1999</v>
      </c>
      <c r="F37" s="672">
        <v>2000</v>
      </c>
      <c r="G37" s="703" t="s">
        <v>378</v>
      </c>
      <c r="H37" s="673">
        <f>F37+1</f>
        <v>2001</v>
      </c>
      <c r="I37" s="703" t="s">
        <v>378</v>
      </c>
      <c r="J37" s="673">
        <f>+H37+1</f>
        <v>2002</v>
      </c>
      <c r="K37" s="703" t="s">
        <v>378</v>
      </c>
      <c r="L37" s="673">
        <f>J37+1</f>
        <v>2003</v>
      </c>
      <c r="M37" s="703" t="s">
        <v>378</v>
      </c>
      <c r="N37" s="673">
        <f>L37+1</f>
        <v>2004</v>
      </c>
      <c r="O37" s="782" t="s">
        <v>378</v>
      </c>
      <c r="P37" s="789">
        <f>N37+1</f>
        <v>2005</v>
      </c>
      <c r="Q37" s="790" t="s">
        <v>378</v>
      </c>
      <c r="R37" s="789">
        <f>P37+1</f>
        <v>2006</v>
      </c>
      <c r="S37" s="790" t="s">
        <v>378</v>
      </c>
      <c r="T37" s="789">
        <f>R37+1</f>
        <v>2007</v>
      </c>
      <c r="U37" s="790" t="s">
        <v>378</v>
      </c>
      <c r="V37" s="789">
        <f>T37+1</f>
        <v>2008</v>
      </c>
      <c r="W37" s="790" t="s">
        <v>378</v>
      </c>
      <c r="X37" s="789">
        <f>V37+1</f>
        <v>2009</v>
      </c>
      <c r="Y37" s="790" t="s">
        <v>378</v>
      </c>
      <c r="Z37" s="789">
        <f>X37+1</f>
        <v>2010</v>
      </c>
      <c r="AA37" s="790" t="s">
        <v>378</v>
      </c>
      <c r="AB37" s="789">
        <f>Z37+1</f>
        <v>2011</v>
      </c>
      <c r="AC37" s="790" t="s">
        <v>378</v>
      </c>
      <c r="AD37" s="789">
        <f>AB37+1</f>
        <v>2012</v>
      </c>
      <c r="AE37" s="790" t="s">
        <v>378</v>
      </c>
    </row>
    <row r="38" spans="1:31" ht="18" customHeight="1" x14ac:dyDescent="0.3">
      <c r="A38" s="677" t="s">
        <v>408</v>
      </c>
      <c r="B38" s="704"/>
      <c r="C38" s="704"/>
      <c r="D38" s="704"/>
      <c r="E38" s="704"/>
      <c r="F38" s="537"/>
      <c r="G38" s="705"/>
      <c r="H38" s="537"/>
      <c r="I38" s="705"/>
      <c r="J38" s="537"/>
      <c r="K38" s="705"/>
      <c r="L38" s="537"/>
      <c r="M38" s="705"/>
      <c r="N38" s="537"/>
      <c r="O38" s="787"/>
      <c r="P38" s="712"/>
      <c r="Q38" s="552"/>
      <c r="R38" s="712"/>
      <c r="S38" s="552"/>
      <c r="T38" s="712"/>
      <c r="U38" s="552"/>
      <c r="V38" s="712"/>
      <c r="W38" s="552"/>
      <c r="X38" s="712"/>
      <c r="Y38" s="552"/>
      <c r="Z38" s="712"/>
      <c r="AA38" s="552"/>
      <c r="AB38" s="712"/>
      <c r="AC38" s="552"/>
      <c r="AD38" s="712"/>
      <c r="AE38" s="552"/>
    </row>
    <row r="39" spans="1:31" ht="18" customHeight="1" x14ac:dyDescent="0.3">
      <c r="A39" s="707" t="s">
        <v>1074</v>
      </c>
      <c r="B39" s="541">
        <v>4</v>
      </c>
      <c r="C39" s="541">
        <v>4</v>
      </c>
      <c r="D39" s="541">
        <v>2</v>
      </c>
      <c r="E39" s="541">
        <v>3</v>
      </c>
      <c r="F39" s="541">
        <v>4</v>
      </c>
      <c r="G39" s="706">
        <f>AVERAGE(B39:F39)</f>
        <v>3.4</v>
      </c>
      <c r="H39" s="541">
        <v>4</v>
      </c>
      <c r="I39" s="706">
        <f>(H39+F39+E39+D39+C39)/5</f>
        <v>3.4</v>
      </c>
      <c r="J39" s="541">
        <f>2+1</f>
        <v>3</v>
      </c>
      <c r="K39" s="706">
        <f>(J39+H39+F39+E39+D39)/5</f>
        <v>3.2</v>
      </c>
      <c r="L39" s="541">
        <v>0</v>
      </c>
      <c r="M39" s="706">
        <f>(L39+J39+H39+F39+E39)/5</f>
        <v>2.8</v>
      </c>
      <c r="N39" s="541">
        <v>0</v>
      </c>
      <c r="O39" s="785">
        <f>(+N39+L39+J39+H39+F39)/5</f>
        <v>2.2000000000000002</v>
      </c>
      <c r="P39" s="715">
        <v>0</v>
      </c>
      <c r="Q39" s="792">
        <f>(P39+N39+L39+J39+H39)/5</f>
        <v>1.4</v>
      </c>
      <c r="R39" s="715">
        <v>0</v>
      </c>
      <c r="S39" s="792">
        <f>(R39+P39+N39+L39+J39)/5</f>
        <v>0.6</v>
      </c>
      <c r="T39" s="715">
        <v>0</v>
      </c>
      <c r="U39" s="792">
        <f>(T39+R39+P39+N39+L39)/5</f>
        <v>0</v>
      </c>
      <c r="V39" s="715">
        <v>0</v>
      </c>
      <c r="W39" s="792">
        <f>(V39+T39+R39+P39+N39)/5</f>
        <v>0</v>
      </c>
      <c r="X39" s="715">
        <v>0</v>
      </c>
      <c r="Y39" s="792">
        <f>(X39+V39+T39+R39+P39)/5</f>
        <v>0</v>
      </c>
      <c r="Z39" s="715">
        <v>0</v>
      </c>
      <c r="AA39" s="792">
        <f>(Z39+X39+V39+T39+R39)/5</f>
        <v>0</v>
      </c>
      <c r="AB39" s="715">
        <v>0</v>
      </c>
      <c r="AC39" s="792">
        <f>(AB39+Z39+X39+V39+T39)/5</f>
        <v>0</v>
      </c>
      <c r="AD39" s="715">
        <v>0</v>
      </c>
      <c r="AE39" s="792">
        <f>(AD39+AB39+Z39+X39+V39)/5</f>
        <v>0</v>
      </c>
    </row>
    <row r="40" spans="1:31" ht="18" customHeight="1" x14ac:dyDescent="0.3">
      <c r="A40" s="678" t="s">
        <v>1075</v>
      </c>
      <c r="B40" s="541">
        <v>81</v>
      </c>
      <c r="C40" s="541">
        <v>74</v>
      </c>
      <c r="D40" s="541">
        <v>75</v>
      </c>
      <c r="E40" s="541">
        <v>68</v>
      </c>
      <c r="F40" s="541">
        <v>74</v>
      </c>
      <c r="G40" s="706">
        <f>AVERAGE(B40:F40)</f>
        <v>74.400000000000006</v>
      </c>
      <c r="H40" s="541">
        <f>80-1</f>
        <v>79</v>
      </c>
      <c r="I40" s="706">
        <f>(H40+F40+E40+D40+C40)/5</f>
        <v>74</v>
      </c>
      <c r="J40" s="541">
        <v>94</v>
      </c>
      <c r="K40" s="706">
        <f>(J40+H40+F40+E40+D40)/5</f>
        <v>78</v>
      </c>
      <c r="L40" s="541">
        <v>81</v>
      </c>
      <c r="M40" s="706">
        <f>(L40+J40+H40+F40+E40)/5</f>
        <v>79.2</v>
      </c>
      <c r="N40" s="541">
        <v>75</v>
      </c>
      <c r="O40" s="785">
        <f>(+N40+L40+J40+H40+F40)/5</f>
        <v>80.599999999999994</v>
      </c>
      <c r="P40" s="715">
        <v>71</v>
      </c>
      <c r="Q40" s="792">
        <f>(P40+N40+L40+J40+H40)/5</f>
        <v>80</v>
      </c>
      <c r="R40" s="715">
        <v>68</v>
      </c>
      <c r="S40" s="792">
        <f>(R40+P40+N40+L40+J40)/5</f>
        <v>77.8</v>
      </c>
      <c r="T40" s="715">
        <v>65</v>
      </c>
      <c r="U40" s="792">
        <f>(T40+R40+P40+N40+L40)/5</f>
        <v>72</v>
      </c>
      <c r="V40" s="715">
        <v>83</v>
      </c>
      <c r="W40" s="792">
        <f>(V40+T40+R40+P40+N40)/5</f>
        <v>72.400000000000006</v>
      </c>
      <c r="X40" s="715">
        <v>97</v>
      </c>
      <c r="Y40" s="792">
        <f>(X40+V40+T40+R40+P40)/5</f>
        <v>76.8</v>
      </c>
      <c r="Z40" s="715">
        <v>100</v>
      </c>
      <c r="AA40" s="792">
        <f>(Z40+X40+V40+T40+R40)/5</f>
        <v>82.6</v>
      </c>
      <c r="AB40" s="715">
        <v>107</v>
      </c>
      <c r="AC40" s="792">
        <f>(AB40+Z40+X40+V40+T40)/5</f>
        <v>90.4</v>
      </c>
      <c r="AD40" s="715">
        <v>93</v>
      </c>
      <c r="AE40" s="792">
        <f>(AD40+AB40+Z40+X40+V40)/5</f>
        <v>96</v>
      </c>
    </row>
    <row r="41" spans="1:31" ht="18" customHeight="1" x14ac:dyDescent="0.3">
      <c r="A41" s="678" t="s">
        <v>379</v>
      </c>
      <c r="B41" s="541">
        <v>0</v>
      </c>
      <c r="C41" s="541">
        <v>0</v>
      </c>
      <c r="D41" s="541">
        <v>0</v>
      </c>
      <c r="E41" s="541">
        <v>1</v>
      </c>
      <c r="F41" s="541">
        <v>0</v>
      </c>
      <c r="G41" s="706">
        <f>AVERAGE(B41:F41)</f>
        <v>0.2</v>
      </c>
      <c r="H41" s="541">
        <v>0</v>
      </c>
      <c r="I41" s="706">
        <f>(H41+F41+E41+D41+C41)/5</f>
        <v>0.2</v>
      </c>
      <c r="J41" s="541">
        <v>0</v>
      </c>
      <c r="K41" s="706">
        <f>(J41+H41+F41+E41+D41)/5</f>
        <v>0.2</v>
      </c>
      <c r="L41" s="541">
        <v>0</v>
      </c>
      <c r="M41" s="706">
        <f>(L41+J41+H41+F41+E41)/5</f>
        <v>0.2</v>
      </c>
      <c r="N41" s="541">
        <v>0</v>
      </c>
      <c r="O41" s="785">
        <f>(+N41+L41+J41+H41+F41)/5</f>
        <v>0</v>
      </c>
      <c r="P41" s="715">
        <v>0</v>
      </c>
      <c r="Q41" s="792">
        <f>(P41+N41+L41+J41+H41)/5</f>
        <v>0</v>
      </c>
      <c r="R41" s="715">
        <v>0</v>
      </c>
      <c r="S41" s="792">
        <f>(R41+P41+N41+L41+J41)/5</f>
        <v>0</v>
      </c>
      <c r="T41" s="715">
        <v>0</v>
      </c>
      <c r="U41" s="792">
        <f>(T41+R41+P41+N41+L41)/5</f>
        <v>0</v>
      </c>
      <c r="V41" s="715">
        <v>0</v>
      </c>
      <c r="W41" s="792">
        <f>(V41+T41+R41+P41+N41)/5</f>
        <v>0</v>
      </c>
      <c r="X41" s="715">
        <v>0</v>
      </c>
      <c r="Y41" s="792">
        <f>(X41+V41+T41+R41+P41)/5</f>
        <v>0</v>
      </c>
      <c r="Z41" s="715">
        <v>0</v>
      </c>
      <c r="AA41" s="792">
        <f>(Z41+X41+V41+T41+R41)/5</f>
        <v>0</v>
      </c>
      <c r="AB41" s="715">
        <v>0</v>
      </c>
      <c r="AC41" s="792">
        <f>(AB41+Z41+X41+V41+T41)/5</f>
        <v>0</v>
      </c>
      <c r="AD41" s="715">
        <v>0</v>
      </c>
      <c r="AE41" s="792">
        <f>(AD41+AB41+Z41+X41+V41)/5</f>
        <v>0</v>
      </c>
    </row>
    <row r="42" spans="1:31" ht="18" customHeight="1" x14ac:dyDescent="0.3">
      <c r="A42" s="679" t="s">
        <v>961</v>
      </c>
      <c r="B42" s="541">
        <f>SUM(B39:B41)</f>
        <v>85</v>
      </c>
      <c r="C42" s="541">
        <f>SUM(C39:C41)</f>
        <v>78</v>
      </c>
      <c r="D42" s="541">
        <f>SUM(D39:D41)</f>
        <v>77</v>
      </c>
      <c r="E42" s="541">
        <f>SUM(E39:E41)</f>
        <v>72</v>
      </c>
      <c r="F42" s="541">
        <f>SUM(F39:F41)</f>
        <v>78</v>
      </c>
      <c r="G42" s="706">
        <f>AVERAGE(B42:F42)</f>
        <v>78</v>
      </c>
      <c r="H42" s="541">
        <f>SUM(H39:H41)</f>
        <v>83</v>
      </c>
      <c r="I42" s="706">
        <f>(H42+F42+E42+D42+C42)/5</f>
        <v>77.599999999999994</v>
      </c>
      <c r="J42" s="541">
        <f>SUM(J39:J41)</f>
        <v>97</v>
      </c>
      <c r="K42" s="706">
        <f>(J42+H42+F42+E42+D42)/5</f>
        <v>81.400000000000006</v>
      </c>
      <c r="L42" s="541">
        <f>SUM(L39:L41)</f>
        <v>81</v>
      </c>
      <c r="M42" s="706">
        <f>(L42+J42+H42+F42+E42)/5</f>
        <v>82.2</v>
      </c>
      <c r="N42" s="541">
        <f>SUM(N39:N41)</f>
        <v>75</v>
      </c>
      <c r="O42" s="785">
        <f>(+N42+L42+J42+H42+F42)/5</f>
        <v>82.8</v>
      </c>
      <c r="P42" s="715">
        <f>SUM(P39:P41)</f>
        <v>71</v>
      </c>
      <c r="Q42" s="792">
        <f>(P42+N42+L42+J42+H42)/5</f>
        <v>81.400000000000006</v>
      </c>
      <c r="R42" s="715">
        <f>SUM(R39:R41)</f>
        <v>68</v>
      </c>
      <c r="S42" s="792">
        <f>(R42+P42+N42+L42+J42)/5</f>
        <v>78.400000000000006</v>
      </c>
      <c r="T42" s="715">
        <f>SUM(T39:T41)</f>
        <v>65</v>
      </c>
      <c r="U42" s="792">
        <f>(T42+R42+P42+N42+L42)/5</f>
        <v>72</v>
      </c>
      <c r="V42" s="715">
        <f>SUM(V39:V41)</f>
        <v>83</v>
      </c>
      <c r="W42" s="792">
        <f>(V42+T42+R42+P42+N42)/5</f>
        <v>72.400000000000006</v>
      </c>
      <c r="X42" s="715">
        <f>SUM(X39:X41)</f>
        <v>97</v>
      </c>
      <c r="Y42" s="792">
        <f>(X42+V42+T42+R42+P42)/5</f>
        <v>76.8</v>
      </c>
      <c r="Z42" s="715">
        <f>SUM(Z39:Z41)</f>
        <v>100</v>
      </c>
      <c r="AA42" s="792">
        <f>(Z42+X42+V42+T42+R42)/5</f>
        <v>82.6</v>
      </c>
      <c r="AB42" s="715">
        <f>SUM(AB39:AB41)</f>
        <v>107</v>
      </c>
      <c r="AC42" s="792">
        <f>(AB42+Z42+X42+V42+T42)/5</f>
        <v>90.4</v>
      </c>
      <c r="AD42" s="715">
        <f>SUM(AD39:AD41)</f>
        <v>93</v>
      </c>
      <c r="AE42" s="792">
        <f>(AD42+AB42+Z42+X42+V42)/5</f>
        <v>96</v>
      </c>
    </row>
    <row r="43" spans="1:31" ht="18" customHeight="1" x14ac:dyDescent="0.3">
      <c r="A43" s="677" t="s">
        <v>409</v>
      </c>
      <c r="B43" s="704"/>
      <c r="C43" s="704"/>
      <c r="D43" s="704"/>
      <c r="E43" s="704"/>
      <c r="F43" s="537"/>
      <c r="G43" s="708"/>
      <c r="H43" s="537"/>
      <c r="I43" s="708"/>
      <c r="J43" s="537"/>
      <c r="K43" s="708"/>
      <c r="L43" s="537"/>
      <c r="M43" s="705"/>
      <c r="N43" s="537"/>
      <c r="O43" s="786"/>
      <c r="P43" s="791"/>
      <c r="Q43" s="552"/>
      <c r="R43" s="791"/>
      <c r="S43" s="552"/>
      <c r="T43" s="791"/>
      <c r="U43" s="552"/>
      <c r="V43" s="791"/>
      <c r="W43" s="552"/>
      <c r="X43" s="791"/>
      <c r="Y43" s="552"/>
      <c r="Z43" s="791"/>
      <c r="AA43" s="552"/>
      <c r="AB43" s="791"/>
      <c r="AC43" s="552"/>
      <c r="AD43" s="791"/>
      <c r="AE43" s="552"/>
    </row>
    <row r="44" spans="1:31" ht="18" customHeight="1" x14ac:dyDescent="0.3">
      <c r="A44" s="678" t="s">
        <v>1079</v>
      </c>
      <c r="B44" s="541">
        <v>51</v>
      </c>
      <c r="C44" s="541">
        <v>54</v>
      </c>
      <c r="D44" s="541">
        <v>37</v>
      </c>
      <c r="E44" s="541">
        <v>29</v>
      </c>
      <c r="F44" s="541">
        <f>31-6</f>
        <v>25</v>
      </c>
      <c r="G44" s="706">
        <f>AVERAGE(B44:F44)</f>
        <v>39.200000000000003</v>
      </c>
      <c r="H44" s="541">
        <f>41-8</f>
        <v>33</v>
      </c>
      <c r="I44" s="706">
        <f>(H44+F44+E44+D44+C44)/5</f>
        <v>35.6</v>
      </c>
      <c r="J44" s="541">
        <f>38-9</f>
        <v>29</v>
      </c>
      <c r="K44" s="706">
        <f>(J44+H44+F44+E44+D44)/5</f>
        <v>30.6</v>
      </c>
      <c r="L44" s="541">
        <f>54-6</f>
        <v>48</v>
      </c>
      <c r="M44" s="706">
        <f>(L44+J44+H44+F44+E44)/5</f>
        <v>32.799999999999997</v>
      </c>
      <c r="N44" s="541">
        <v>43</v>
      </c>
      <c r="O44" s="785">
        <f>(+N44+L44+J44+H44+F44)/5</f>
        <v>35.6</v>
      </c>
      <c r="P44" s="715">
        <v>53</v>
      </c>
      <c r="Q44" s="792">
        <f>(P44+N44+L44+J44+H44)/5</f>
        <v>41.2</v>
      </c>
      <c r="R44" s="715">
        <v>54</v>
      </c>
      <c r="S44" s="792">
        <f>(R44+P44+N44+L44+J44)/5</f>
        <v>45.4</v>
      </c>
      <c r="T44" s="715">
        <v>39</v>
      </c>
      <c r="U44" s="792">
        <f>(T44+R44+P44+N44+L44)/5</f>
        <v>47.4</v>
      </c>
      <c r="V44" s="715">
        <v>42</v>
      </c>
      <c r="W44" s="792">
        <f>(V44+T44+R44+P44+N44)/5</f>
        <v>46.2</v>
      </c>
      <c r="X44" s="715">
        <v>55</v>
      </c>
      <c r="Y44" s="792">
        <f>(X44+V44+T44+R44+P44)/5</f>
        <v>48.6</v>
      </c>
      <c r="Z44" s="715">
        <v>62</v>
      </c>
      <c r="AA44" s="792">
        <f>(Z44+X44+V44+T44+R44)/5</f>
        <v>50.4</v>
      </c>
      <c r="AB44" s="715">
        <v>50</v>
      </c>
      <c r="AC44" s="792">
        <f>(AB44+Z44+X44+V44+T44)/5</f>
        <v>49.6</v>
      </c>
      <c r="AD44" s="715">
        <v>44</v>
      </c>
      <c r="AE44" s="792">
        <f>(AD44+AB44+Z44+X44+V44)/5</f>
        <v>50.6</v>
      </c>
    </row>
    <row r="45" spans="1:31" ht="18" customHeight="1" x14ac:dyDescent="0.3">
      <c r="A45" s="678" t="s">
        <v>1050</v>
      </c>
      <c r="B45" s="541">
        <v>0</v>
      </c>
      <c r="C45" s="541">
        <v>0</v>
      </c>
      <c r="D45" s="541">
        <v>0</v>
      </c>
      <c r="E45" s="541">
        <v>1</v>
      </c>
      <c r="F45" s="541">
        <v>6</v>
      </c>
      <c r="G45" s="706">
        <f>AVERAGE(B45:F45)</f>
        <v>1.4</v>
      </c>
      <c r="H45" s="541">
        <v>8</v>
      </c>
      <c r="I45" s="706">
        <f>(H45+F45+E45+D45+C45)/5</f>
        <v>3</v>
      </c>
      <c r="J45" s="541">
        <v>9</v>
      </c>
      <c r="K45" s="706">
        <f>(J45+H45+F45+E45+D45)/5</f>
        <v>4.8</v>
      </c>
      <c r="L45" s="541">
        <v>6</v>
      </c>
      <c r="M45" s="706">
        <f>(L45+J45+H45+F45+E45)/5</f>
        <v>6</v>
      </c>
      <c r="N45" s="541">
        <v>3</v>
      </c>
      <c r="O45" s="785">
        <f>(+N45+L45+J45+H45+F45)/5</f>
        <v>6.4</v>
      </c>
      <c r="P45" s="715">
        <v>3</v>
      </c>
      <c r="Q45" s="792">
        <f>(P45+N45+L45+J45+H45)/5</f>
        <v>5.8</v>
      </c>
      <c r="R45" s="715">
        <v>1</v>
      </c>
      <c r="S45" s="792">
        <f>(R45+P45+N45+L45+J45)/5</f>
        <v>4.4000000000000004</v>
      </c>
      <c r="T45" s="715">
        <v>0</v>
      </c>
      <c r="U45" s="792">
        <f>(T45+R45+P45+N45+L45)/5</f>
        <v>2.6</v>
      </c>
      <c r="V45" s="715">
        <v>1</v>
      </c>
      <c r="W45" s="792">
        <f>(V45+T45+R45+P45+N45)/5</f>
        <v>1.6</v>
      </c>
      <c r="X45" s="715">
        <v>0</v>
      </c>
      <c r="Y45" s="792">
        <f>(X45+V45+T45+R45+P45)/5</f>
        <v>1</v>
      </c>
      <c r="Z45" s="715">
        <v>0</v>
      </c>
      <c r="AA45" s="792">
        <f>(Z45+X45+V45+T45+R45)/5</f>
        <v>0.4</v>
      </c>
      <c r="AB45" s="715">
        <v>0</v>
      </c>
      <c r="AC45" s="792">
        <f>(AB45+Z45+X45+V45+T45)/5</f>
        <v>0.2</v>
      </c>
      <c r="AD45" s="715">
        <v>0</v>
      </c>
      <c r="AE45" s="792">
        <f>(AD45+AB45+Z45+X45+V45)/5</f>
        <v>0.2</v>
      </c>
    </row>
    <row r="46" spans="1:31" ht="18" customHeight="1" x14ac:dyDescent="0.3">
      <c r="A46" s="678" t="s">
        <v>1537</v>
      </c>
      <c r="B46" s="541">
        <v>0</v>
      </c>
      <c r="C46" s="541">
        <v>0</v>
      </c>
      <c r="D46" s="541">
        <v>0</v>
      </c>
      <c r="E46" s="541">
        <v>0</v>
      </c>
      <c r="F46" s="541">
        <v>0</v>
      </c>
      <c r="G46" s="706">
        <f>AVERAGE(B46:F46)</f>
        <v>0</v>
      </c>
      <c r="H46" s="541">
        <v>0</v>
      </c>
      <c r="I46" s="706">
        <f>(H46+F46+E46+D46+C46)/5</f>
        <v>0</v>
      </c>
      <c r="J46" s="541">
        <v>0</v>
      </c>
      <c r="K46" s="706">
        <f>(J46+H46+F46+E46+D46)/5</f>
        <v>0</v>
      </c>
      <c r="L46" s="541">
        <v>0</v>
      </c>
      <c r="M46" s="706">
        <f>(L46+J46+H46+F46+E46)/5</f>
        <v>0</v>
      </c>
      <c r="N46" s="541">
        <v>0</v>
      </c>
      <c r="O46" s="785">
        <f>(+N46+L46+J46+H46+F46)/5</f>
        <v>0</v>
      </c>
      <c r="P46" s="715">
        <v>0</v>
      </c>
      <c r="Q46" s="792">
        <f>(P46+N46+L46+J46+H46)/5</f>
        <v>0</v>
      </c>
      <c r="R46" s="715">
        <v>0</v>
      </c>
      <c r="S46" s="792">
        <f>(R46+P46+N46+L46+J46)/5</f>
        <v>0</v>
      </c>
      <c r="T46" s="715">
        <v>0</v>
      </c>
      <c r="U46" s="792">
        <f>(T46+R46+P46+N46+L46)/5</f>
        <v>0</v>
      </c>
      <c r="V46" s="715">
        <v>0</v>
      </c>
      <c r="W46" s="792">
        <f>(V46+T46+R46+P46+N46)/5</f>
        <v>0</v>
      </c>
      <c r="X46" s="715">
        <v>0</v>
      </c>
      <c r="Y46" s="792">
        <f>(X46+V46+T46+R46+P46)/5</f>
        <v>0</v>
      </c>
      <c r="Z46" s="715">
        <v>0</v>
      </c>
      <c r="AA46" s="792">
        <f>(Z46+X46+V46+T46+R46)/5</f>
        <v>0</v>
      </c>
      <c r="AB46" s="715">
        <v>0</v>
      </c>
      <c r="AC46" s="792">
        <f>(AB46+Z46+X46+V46+T46)/5</f>
        <v>0</v>
      </c>
      <c r="AD46" s="715">
        <v>18</v>
      </c>
      <c r="AE46" s="792">
        <f>(AD46+AB46+Z46+X46+V46)/5</f>
        <v>3.6</v>
      </c>
    </row>
    <row r="47" spans="1:31" ht="18" customHeight="1" x14ac:dyDescent="0.3">
      <c r="A47" s="678" t="s">
        <v>1080</v>
      </c>
      <c r="B47" s="541">
        <v>4</v>
      </c>
      <c r="C47" s="541">
        <v>6</v>
      </c>
      <c r="D47" s="541">
        <v>5</v>
      </c>
      <c r="E47" s="541">
        <v>8</v>
      </c>
      <c r="F47" s="541">
        <v>15</v>
      </c>
      <c r="G47" s="706">
        <f>AVERAGE(B47:F47)</f>
        <v>7.6</v>
      </c>
      <c r="H47" s="541">
        <f>13-1</f>
        <v>12</v>
      </c>
      <c r="I47" s="706">
        <f>(H47+F47+E47+D47+C47)/5</f>
        <v>9.1999999999999993</v>
      </c>
      <c r="J47" s="541">
        <v>12</v>
      </c>
      <c r="K47" s="706">
        <f>(J47+H47+F47+E47+D47)/5</f>
        <v>10.4</v>
      </c>
      <c r="L47" s="541">
        <v>10</v>
      </c>
      <c r="M47" s="706">
        <f>(L47+J47+H47+F47+E47)/5</f>
        <v>11.4</v>
      </c>
      <c r="N47" s="541">
        <v>12</v>
      </c>
      <c r="O47" s="785">
        <f>(+N47+L47+J47+H47+F47)/5</f>
        <v>12.2</v>
      </c>
      <c r="P47" s="715">
        <v>13</v>
      </c>
      <c r="Q47" s="792">
        <f>(P47+N47+L47+J47+H47)/5</f>
        <v>11.8</v>
      </c>
      <c r="R47" s="715">
        <v>12</v>
      </c>
      <c r="S47" s="792">
        <f>(R47+P47+N47+L47+J47)/5</f>
        <v>11.8</v>
      </c>
      <c r="T47" s="715">
        <v>12</v>
      </c>
      <c r="U47" s="792">
        <f>(T47+R47+P47+N47+L47)/5</f>
        <v>11.8</v>
      </c>
      <c r="V47" s="715">
        <v>10</v>
      </c>
      <c r="W47" s="792">
        <f>(V47+T47+R47+P47+N47)/5</f>
        <v>11.8</v>
      </c>
      <c r="X47" s="715">
        <v>8</v>
      </c>
      <c r="Y47" s="792">
        <f>(X47+V47+T47+R47+P47)/5</f>
        <v>11</v>
      </c>
      <c r="Z47" s="715">
        <v>11</v>
      </c>
      <c r="AA47" s="792">
        <f>(Z47+X47+V47+T47+R47)/5</f>
        <v>10.6</v>
      </c>
      <c r="AB47" s="715">
        <v>15</v>
      </c>
      <c r="AC47" s="792">
        <f>(AB47+Z47+X47+V47+T47)/5</f>
        <v>11.2</v>
      </c>
      <c r="AD47" s="715">
        <v>14</v>
      </c>
      <c r="AE47" s="792">
        <f>(AD47+AB47+Z47+X47+V47)/5</f>
        <v>11.6</v>
      </c>
    </row>
    <row r="48" spans="1:31" ht="18" customHeight="1" x14ac:dyDescent="0.3">
      <c r="A48" s="679" t="s">
        <v>961</v>
      </c>
      <c r="B48" s="541">
        <f>SUM(B44:B47)</f>
        <v>55</v>
      </c>
      <c r="C48" s="541">
        <f>SUM(C44:C47)</f>
        <v>60</v>
      </c>
      <c r="D48" s="541">
        <f>SUM(D44:D47)</f>
        <v>42</v>
      </c>
      <c r="E48" s="541">
        <f>SUM(E44:E47)</f>
        <v>38</v>
      </c>
      <c r="F48" s="541">
        <f>SUM(F44:F47)</f>
        <v>46</v>
      </c>
      <c r="G48" s="706">
        <f>AVERAGE(B48:F48)</f>
        <v>48.2</v>
      </c>
      <c r="H48" s="541">
        <f>SUM(H44:H47)</f>
        <v>53</v>
      </c>
      <c r="I48" s="706">
        <f>(H48+F48+E48+D48+C48)/5</f>
        <v>47.8</v>
      </c>
      <c r="J48" s="541">
        <f>SUM(J44:J47)</f>
        <v>50</v>
      </c>
      <c r="K48" s="706">
        <f>(J48+H48+F48+E48+D48)/5</f>
        <v>45.8</v>
      </c>
      <c r="L48" s="541">
        <f>SUM(L44:L47)</f>
        <v>64</v>
      </c>
      <c r="M48" s="706">
        <f>(L48+J48+H48+F48+E48)/5</f>
        <v>50.2</v>
      </c>
      <c r="N48" s="541">
        <f>SUM(N44:N47)</f>
        <v>58</v>
      </c>
      <c r="O48" s="785">
        <f>(+N48+L48+J48+H48+F48)/5</f>
        <v>54.2</v>
      </c>
      <c r="P48" s="541">
        <f>SUM(P44:P47)</f>
        <v>69</v>
      </c>
      <c r="Q48" s="792">
        <f>(P48+N48+L48+J48+H48)/5</f>
        <v>58.8</v>
      </c>
      <c r="R48" s="541">
        <f>SUM(R44:R47)</f>
        <v>67</v>
      </c>
      <c r="S48" s="792">
        <f>(R48+P48+N48+L48+J48)/5</f>
        <v>61.6</v>
      </c>
      <c r="T48" s="541">
        <f>SUM(T44:T47)</f>
        <v>51</v>
      </c>
      <c r="U48" s="792">
        <f>(T48+R48+P48+N48+L48)/5</f>
        <v>61.8</v>
      </c>
      <c r="V48" s="541">
        <f>SUM(V44:V47)</f>
        <v>53</v>
      </c>
      <c r="W48" s="792">
        <f>(V48+T48+R48+P48+N48)/5</f>
        <v>59.6</v>
      </c>
      <c r="X48" s="541">
        <f>SUM(X44:X47)</f>
        <v>63</v>
      </c>
      <c r="Y48" s="792">
        <f>(X48+V48+T48+R48+P48)/5</f>
        <v>60.6</v>
      </c>
      <c r="Z48" s="541">
        <f>SUM(Z44:Z47)</f>
        <v>73</v>
      </c>
      <c r="AA48" s="792">
        <f>(Z48+X48+V48+T48+R48)/5</f>
        <v>61.4</v>
      </c>
      <c r="AB48" s="541">
        <f>SUM(AB44:AB47)</f>
        <v>65</v>
      </c>
      <c r="AC48" s="792">
        <f>(AB48+Z48+X48+V48+T48)/5</f>
        <v>61</v>
      </c>
      <c r="AD48" s="541">
        <f>SUM(AD44:AD47)</f>
        <v>76</v>
      </c>
      <c r="AE48" s="792">
        <f>(AD48+AB48+Z48+X48+V48)/5</f>
        <v>66</v>
      </c>
    </row>
    <row r="49" spans="1:31" ht="18" customHeight="1" x14ac:dyDescent="0.3">
      <c r="A49" s="677" t="s">
        <v>410</v>
      </c>
      <c r="B49" s="704"/>
      <c r="C49" s="704"/>
      <c r="D49" s="704"/>
      <c r="E49" s="704"/>
      <c r="F49" s="537"/>
      <c r="G49" s="708"/>
      <c r="H49" s="537"/>
      <c r="I49" s="708"/>
      <c r="J49" s="537"/>
      <c r="K49" s="708"/>
      <c r="L49" s="537"/>
      <c r="M49" s="705"/>
      <c r="N49" s="537"/>
      <c r="O49" s="786"/>
      <c r="P49" s="552"/>
      <c r="Q49" s="552"/>
      <c r="R49" s="552"/>
      <c r="S49" s="552"/>
      <c r="T49" s="552"/>
      <c r="U49" s="552"/>
      <c r="V49" s="552"/>
      <c r="W49" s="552"/>
      <c r="X49" s="552"/>
      <c r="Y49" s="552"/>
      <c r="Z49" s="552"/>
      <c r="AA49" s="552"/>
      <c r="AB49" s="552"/>
      <c r="AC49" s="552"/>
      <c r="AD49" s="552"/>
      <c r="AE49" s="552"/>
    </row>
    <row r="50" spans="1:31" ht="18" customHeight="1" x14ac:dyDescent="0.3">
      <c r="A50" s="678" t="s">
        <v>1076</v>
      </c>
      <c r="B50" s="541">
        <v>73</v>
      </c>
      <c r="C50" s="541">
        <v>63</v>
      </c>
      <c r="D50" s="541">
        <v>52</v>
      </c>
      <c r="E50" s="541">
        <v>48</v>
      </c>
      <c r="F50" s="541">
        <v>59</v>
      </c>
      <c r="G50" s="706">
        <f>AVERAGE(B50:F50)</f>
        <v>59</v>
      </c>
      <c r="H50" s="541">
        <v>61</v>
      </c>
      <c r="I50" s="706">
        <f>(H50+F50+E50+D50+C50)/5</f>
        <v>56.6</v>
      </c>
      <c r="J50" s="541">
        <v>60</v>
      </c>
      <c r="K50" s="706">
        <f>(J50+H50+F50+E50+D50)/5</f>
        <v>56</v>
      </c>
      <c r="L50" s="541">
        <v>80</v>
      </c>
      <c r="M50" s="706">
        <f>(L50+J50+H50+F50+E50)/5</f>
        <v>61.6</v>
      </c>
      <c r="N50" s="541">
        <v>73</v>
      </c>
      <c r="O50" s="785">
        <f>(+N50+L50+J50+H50+F50)/5</f>
        <v>66.599999999999994</v>
      </c>
      <c r="P50" s="715">
        <v>79</v>
      </c>
      <c r="Q50" s="792">
        <f>(P50+N50+L50+J50+H50)/5</f>
        <v>70.599999999999994</v>
      </c>
      <c r="R50" s="715">
        <v>82</v>
      </c>
      <c r="S50" s="792">
        <f>(R50+P50+N50+L50+J50)/5</f>
        <v>74.8</v>
      </c>
      <c r="T50" s="715">
        <v>56</v>
      </c>
      <c r="U50" s="792">
        <f>(T50+R50+P50+N50+L50)/5</f>
        <v>74</v>
      </c>
      <c r="V50" s="715">
        <v>68</v>
      </c>
      <c r="W50" s="792">
        <f>(V50+T50+R50+P50+N50)/5</f>
        <v>71.599999999999994</v>
      </c>
      <c r="X50" s="715">
        <v>83</v>
      </c>
      <c r="Y50" s="792">
        <f>(X50+V50+T50+R50+P50)/5</f>
        <v>73.599999999999994</v>
      </c>
      <c r="Z50" s="715">
        <v>74</v>
      </c>
      <c r="AA50" s="792">
        <f>(Z50+X50+V50+T50+R50)/5</f>
        <v>72.599999999999994</v>
      </c>
      <c r="AB50" s="715">
        <v>75</v>
      </c>
      <c r="AC50" s="792">
        <f>(AB50+Z50+X50+V50+T50)/5</f>
        <v>71.2</v>
      </c>
      <c r="AD50" s="715">
        <v>88</v>
      </c>
      <c r="AE50" s="792">
        <f>(AD50+AB50+Z50+X50+V50)/5</f>
        <v>77.599999999999994</v>
      </c>
    </row>
    <row r="51" spans="1:31" ht="18" customHeight="1" x14ac:dyDescent="0.3">
      <c r="A51" s="678" t="s">
        <v>718</v>
      </c>
      <c r="B51" s="541">
        <v>0</v>
      </c>
      <c r="C51" s="541">
        <v>0</v>
      </c>
      <c r="D51" s="541">
        <v>0</v>
      </c>
      <c r="E51" s="541">
        <v>0</v>
      </c>
      <c r="F51" s="541">
        <v>0</v>
      </c>
      <c r="G51" s="706">
        <f>AVERAGE(B51:F51)</f>
        <v>0</v>
      </c>
      <c r="H51" s="541">
        <v>6</v>
      </c>
      <c r="I51" s="706">
        <f>(H51+F51+E51+D51+C51)/5</f>
        <v>1.2</v>
      </c>
      <c r="J51" s="541">
        <v>3</v>
      </c>
      <c r="K51" s="706">
        <f>(J51+H51+F51+E51+D51)/5</f>
        <v>1.8</v>
      </c>
      <c r="L51" s="541">
        <v>5</v>
      </c>
      <c r="M51" s="706">
        <f>(L51+J51+H51+F51+E51)/5</f>
        <v>2.8</v>
      </c>
      <c r="N51" s="541">
        <v>11</v>
      </c>
      <c r="O51" s="785">
        <f>(+N51+L51+J51+H51+F51)/5</f>
        <v>5</v>
      </c>
      <c r="P51" s="715">
        <v>9</v>
      </c>
      <c r="Q51" s="792">
        <f>(P51+N51+L51+J51+H51)/5</f>
        <v>6.8</v>
      </c>
      <c r="R51" s="715">
        <v>5</v>
      </c>
      <c r="S51" s="792">
        <f>(R51+P51+N51+L51+J51)/5</f>
        <v>6.6</v>
      </c>
      <c r="T51" s="715">
        <v>4</v>
      </c>
      <c r="U51" s="792">
        <f>(T51+R51+P51+N51+L51)/5</f>
        <v>6.8</v>
      </c>
      <c r="V51" s="715">
        <v>0</v>
      </c>
      <c r="W51" s="792">
        <f>(V51+T51+R51+P51+N51)/5</f>
        <v>5.8</v>
      </c>
      <c r="X51" s="715">
        <v>0</v>
      </c>
      <c r="Y51" s="792">
        <f>(X51+V51+T51+R51+P51)/5</f>
        <v>3.6</v>
      </c>
      <c r="Z51" s="715">
        <v>1</v>
      </c>
      <c r="AA51" s="792">
        <f>(Z51+X51+V51+T51+R51)/5</f>
        <v>2</v>
      </c>
      <c r="AB51" s="715">
        <v>0</v>
      </c>
      <c r="AC51" s="792">
        <f>(AB51+Z51+X51+V51+T51)/5</f>
        <v>1</v>
      </c>
      <c r="AD51" s="715">
        <v>0</v>
      </c>
      <c r="AE51" s="792">
        <f>(AD51+AB51+Z51+X51+V51)/5</f>
        <v>0.2</v>
      </c>
    </row>
    <row r="52" spans="1:31" ht="18" customHeight="1" x14ac:dyDescent="0.3">
      <c r="A52" s="679" t="s">
        <v>961</v>
      </c>
      <c r="B52" s="541">
        <f>+B51+B50</f>
        <v>73</v>
      </c>
      <c r="C52" s="541">
        <f>+C51+C50</f>
        <v>63</v>
      </c>
      <c r="D52" s="541">
        <f>+D51+D50</f>
        <v>52</v>
      </c>
      <c r="E52" s="541">
        <f>+E51+E50</f>
        <v>48</v>
      </c>
      <c r="F52" s="541">
        <f>+F51+F50</f>
        <v>59</v>
      </c>
      <c r="G52" s="706">
        <f>AVERAGE(B52:F52)</f>
        <v>59</v>
      </c>
      <c r="H52" s="541">
        <f>+H51+H50</f>
        <v>67</v>
      </c>
      <c r="I52" s="706">
        <f>(H52+F52+E52+D52+C52)/5</f>
        <v>57.8</v>
      </c>
      <c r="J52" s="541">
        <f>+J51+J50</f>
        <v>63</v>
      </c>
      <c r="K52" s="706">
        <f>(J52+H52+F52+E52+D52)/5</f>
        <v>57.8</v>
      </c>
      <c r="L52" s="541">
        <f>+L51+L50</f>
        <v>85</v>
      </c>
      <c r="M52" s="706">
        <f>(L52+J52+H52+F52+E52)/5</f>
        <v>64.400000000000006</v>
      </c>
      <c r="N52" s="541">
        <f>+N51+N50</f>
        <v>84</v>
      </c>
      <c r="O52" s="785">
        <f>(+N52+L52+J52+H52+F52)/5</f>
        <v>71.599999999999994</v>
      </c>
      <c r="P52" s="715">
        <f>+P51+P50</f>
        <v>88</v>
      </c>
      <c r="Q52" s="792">
        <f>(P52+N52+L52+J52+H52)/5</f>
        <v>77.400000000000006</v>
      </c>
      <c r="R52" s="715">
        <f>+R51+R50</f>
        <v>87</v>
      </c>
      <c r="S52" s="792">
        <f>(R52+P52+N52+L52+J52)/5</f>
        <v>81.400000000000006</v>
      </c>
      <c r="T52" s="715">
        <f>+T51+T50</f>
        <v>60</v>
      </c>
      <c r="U52" s="792">
        <f>(T52+R52+P52+N52+L52)/5</f>
        <v>80.8</v>
      </c>
      <c r="V52" s="715">
        <f>+V51+V50</f>
        <v>68</v>
      </c>
      <c r="W52" s="792">
        <f>(V52+T52+R52+P52+N52)/5</f>
        <v>77.400000000000006</v>
      </c>
      <c r="X52" s="715">
        <f>+X51+X50</f>
        <v>83</v>
      </c>
      <c r="Y52" s="792">
        <f>(X52+V52+T52+R52+P52)/5</f>
        <v>77.2</v>
      </c>
      <c r="Z52" s="715">
        <f>+Z51+Z50</f>
        <v>75</v>
      </c>
      <c r="AA52" s="792">
        <f>(Z52+X52+V52+T52+R52)/5</f>
        <v>74.599999999999994</v>
      </c>
      <c r="AB52" s="715">
        <f>+AB51+AB50</f>
        <v>75</v>
      </c>
      <c r="AC52" s="792">
        <f>(AB52+Z52+X52+V52+T52)/5</f>
        <v>72.2</v>
      </c>
      <c r="AD52" s="715">
        <f>+AD51+AD50</f>
        <v>88</v>
      </c>
      <c r="AE52" s="792">
        <f>(AD52+AB52+Z52+X52+V52)/5</f>
        <v>77.8</v>
      </c>
    </row>
    <row r="53" spans="1:31" ht="18" customHeight="1" x14ac:dyDescent="0.3">
      <c r="A53" s="677" t="s">
        <v>411</v>
      </c>
      <c r="B53" s="704"/>
      <c r="C53" s="704"/>
      <c r="D53" s="704"/>
      <c r="E53" s="704"/>
      <c r="F53" s="537"/>
      <c r="G53" s="708"/>
      <c r="H53" s="537"/>
      <c r="I53" s="708"/>
      <c r="J53" s="537"/>
      <c r="K53" s="708"/>
      <c r="L53" s="537"/>
      <c r="M53" s="705"/>
      <c r="N53" s="537"/>
      <c r="O53" s="786"/>
      <c r="P53" s="552"/>
      <c r="Q53" s="552"/>
      <c r="R53" s="552"/>
      <c r="S53" s="552"/>
      <c r="T53" s="552"/>
      <c r="U53" s="552"/>
      <c r="V53" s="552"/>
      <c r="W53" s="552"/>
      <c r="X53" s="552"/>
      <c r="Y53" s="552"/>
      <c r="Z53" s="552"/>
      <c r="AA53" s="552"/>
      <c r="AB53" s="552"/>
      <c r="AC53" s="552"/>
      <c r="AD53" s="552"/>
      <c r="AE53" s="552"/>
    </row>
    <row r="54" spans="1:31" ht="18" customHeight="1" x14ac:dyDescent="0.3">
      <c r="A54" s="678" t="s">
        <v>1070</v>
      </c>
      <c r="B54" s="541">
        <v>49</v>
      </c>
      <c r="C54" s="541">
        <v>70</v>
      </c>
      <c r="D54" s="541">
        <v>58</v>
      </c>
      <c r="E54" s="541">
        <v>66</v>
      </c>
      <c r="F54" s="541">
        <v>59</v>
      </c>
      <c r="G54" s="706">
        <f>AVERAGE(B54:F54)</f>
        <v>60.4</v>
      </c>
      <c r="H54" s="541">
        <v>76</v>
      </c>
      <c r="I54" s="706">
        <f>(H54+F54+E54+D54+C54)/5</f>
        <v>65.8</v>
      </c>
      <c r="J54" s="541">
        <v>75</v>
      </c>
      <c r="K54" s="706">
        <f>(J54+H54+F54+E54+D54)/5</f>
        <v>66.8</v>
      </c>
      <c r="L54" s="541">
        <v>85</v>
      </c>
      <c r="M54" s="706">
        <f>(L54+J54+H54+F54+E54)/5</f>
        <v>72.2</v>
      </c>
      <c r="N54" s="541">
        <f>12+61</f>
        <v>73</v>
      </c>
      <c r="O54" s="785">
        <f>(+N54+L54+J54+H54+F54)/5</f>
        <v>73.599999999999994</v>
      </c>
      <c r="P54" s="715">
        <v>83</v>
      </c>
      <c r="Q54" s="792">
        <f>(P54+N54+L54+J54+H54)/5</f>
        <v>78.400000000000006</v>
      </c>
      <c r="R54" s="715">
        <v>75</v>
      </c>
      <c r="S54" s="792">
        <f>(R54+P54+N54+L54+J54)/5</f>
        <v>78.2</v>
      </c>
      <c r="T54" s="715">
        <v>96</v>
      </c>
      <c r="U54" s="792">
        <f>(T54+R54+P54+N54+L54)/5</f>
        <v>82.4</v>
      </c>
      <c r="V54" s="715">
        <v>107</v>
      </c>
      <c r="W54" s="792">
        <f>(V54+T54+R54+P54+N54)/5</f>
        <v>86.8</v>
      </c>
      <c r="X54" s="715">
        <v>132</v>
      </c>
      <c r="Y54" s="792">
        <f>(X54+V54+T54+R54+P54)/5</f>
        <v>98.6</v>
      </c>
      <c r="Z54" s="715">
        <v>147</v>
      </c>
      <c r="AA54" s="792">
        <f>(Z54+X54+V54+T54+R54)/5</f>
        <v>111.4</v>
      </c>
      <c r="AB54" s="715">
        <v>143</v>
      </c>
      <c r="AC54" s="792">
        <f>(AB54+Z54+X54+V54+T54)/5</f>
        <v>125</v>
      </c>
      <c r="AD54" s="715">
        <v>152</v>
      </c>
      <c r="AE54" s="792">
        <f>(AD54+AB54+Z54+X54+V54)/5</f>
        <v>136.19999999999999</v>
      </c>
    </row>
    <row r="55" spans="1:31" ht="18" customHeight="1" x14ac:dyDescent="0.3">
      <c r="A55" s="678" t="s">
        <v>1316</v>
      </c>
      <c r="B55" s="541">
        <v>0</v>
      </c>
      <c r="C55" s="541">
        <v>0</v>
      </c>
      <c r="D55" s="541">
        <v>0</v>
      </c>
      <c r="E55" s="541">
        <v>0</v>
      </c>
      <c r="F55" s="541">
        <v>0</v>
      </c>
      <c r="G55" s="706">
        <f>AVERAGE(B55:F55)</f>
        <v>0</v>
      </c>
      <c r="H55" s="541">
        <v>0</v>
      </c>
      <c r="I55" s="706">
        <f>(H55+F55+E55+D55+C55)/5</f>
        <v>0</v>
      </c>
      <c r="J55" s="541">
        <v>4</v>
      </c>
      <c r="K55" s="706">
        <f>(J55+H55+F55+E55+D55)/5</f>
        <v>0.8</v>
      </c>
      <c r="L55" s="541">
        <v>0</v>
      </c>
      <c r="M55" s="706">
        <f>(L55+J55+H55+F55+E55)/5</f>
        <v>0.8</v>
      </c>
      <c r="N55" s="541">
        <v>0</v>
      </c>
      <c r="O55" s="785">
        <f>(+N55+L55+J55+H55+F55)/5</f>
        <v>0.8</v>
      </c>
      <c r="P55" s="715">
        <v>0</v>
      </c>
      <c r="Q55" s="792">
        <f>(P55+N55+L55+J55+H55)/5</f>
        <v>0.8</v>
      </c>
      <c r="R55" s="715">
        <v>0</v>
      </c>
      <c r="S55" s="792">
        <f>(R55+P55+N55+L55+J55)/5</f>
        <v>0.8</v>
      </c>
      <c r="T55" s="715">
        <v>0</v>
      </c>
      <c r="U55" s="792">
        <f>(T55+R55+P55+N55+L55)/5</f>
        <v>0</v>
      </c>
      <c r="V55" s="715">
        <v>0</v>
      </c>
      <c r="W55" s="792">
        <f>(V55+T55+R55+P55+N55)/5</f>
        <v>0</v>
      </c>
      <c r="X55" s="715">
        <v>0</v>
      </c>
      <c r="Y55" s="792">
        <f>(X55+V55+T55+R55+P55)/5</f>
        <v>0</v>
      </c>
      <c r="Z55" s="715">
        <v>0</v>
      </c>
      <c r="AA55" s="792">
        <f>(Z55+X55+V55+T55+R55)/5</f>
        <v>0</v>
      </c>
      <c r="AB55" s="715">
        <v>0</v>
      </c>
      <c r="AC55" s="792">
        <f>(AB55+Z55+X55+V55+T55)/5</f>
        <v>0</v>
      </c>
      <c r="AD55" s="715">
        <v>0</v>
      </c>
      <c r="AE55" s="792">
        <f>(AD55+AB55+Z55+X55+V55)/5</f>
        <v>0</v>
      </c>
    </row>
    <row r="56" spans="1:31" ht="18" customHeight="1" x14ac:dyDescent="0.3">
      <c r="A56" s="678" t="s">
        <v>1071</v>
      </c>
      <c r="B56" s="541">
        <v>0</v>
      </c>
      <c r="C56" s="541">
        <v>0</v>
      </c>
      <c r="D56" s="541">
        <v>22</v>
      </c>
      <c r="E56" s="541">
        <v>23</v>
      </c>
      <c r="F56" s="541">
        <v>36</v>
      </c>
      <c r="G56" s="706">
        <f>AVERAGE(B56:F56)</f>
        <v>16.2</v>
      </c>
      <c r="H56" s="541">
        <f>25-1</f>
        <v>24</v>
      </c>
      <c r="I56" s="706">
        <f>(H56+F56+E56+D56+C56)/5</f>
        <v>21</v>
      </c>
      <c r="J56" s="541">
        <v>27</v>
      </c>
      <c r="K56" s="706">
        <f>(J56+H56+F56+E56+D56)/5</f>
        <v>26.4</v>
      </c>
      <c r="L56" s="541">
        <v>31</v>
      </c>
      <c r="M56" s="706">
        <f>(L56+J56+H56+F56+E56)/5</f>
        <v>28.2</v>
      </c>
      <c r="N56" s="541">
        <v>31</v>
      </c>
      <c r="O56" s="785">
        <f>(+N56+L56+J56+H56+F56)/5</f>
        <v>29.8</v>
      </c>
      <c r="P56" s="715">
        <v>17</v>
      </c>
      <c r="Q56" s="792">
        <f>(P56+N56+L56+J56+H56)/5</f>
        <v>26</v>
      </c>
      <c r="R56" s="715">
        <v>17</v>
      </c>
      <c r="S56" s="792">
        <f>(R56+P56+N56+L56+J56)/5</f>
        <v>24.6</v>
      </c>
      <c r="T56" s="715">
        <v>18</v>
      </c>
      <c r="U56" s="792">
        <f>(T56+R56+P56+N56+L56)/5</f>
        <v>22.8</v>
      </c>
      <c r="V56" s="715">
        <v>17</v>
      </c>
      <c r="W56" s="792">
        <f>(V56+T56+R56+P56+N56)/5</f>
        <v>20</v>
      </c>
      <c r="X56" s="715">
        <v>22</v>
      </c>
      <c r="Y56" s="792">
        <f>(X56+V56+T56+R56+P56)/5</f>
        <v>18.2</v>
      </c>
      <c r="Z56" s="715">
        <v>24</v>
      </c>
      <c r="AA56" s="792">
        <f>(Z56+X56+V56+T56+R56)/5</f>
        <v>19.600000000000001</v>
      </c>
      <c r="AB56" s="715">
        <v>17</v>
      </c>
      <c r="AC56" s="792">
        <f>(AB56+Z56+X56+V56+T56)/5</f>
        <v>19.600000000000001</v>
      </c>
      <c r="AD56" s="715">
        <v>21</v>
      </c>
      <c r="AE56" s="792">
        <f>(AD56+AB56+Z56+X56+V56)/5</f>
        <v>20.2</v>
      </c>
    </row>
    <row r="57" spans="1:31" ht="18" customHeight="1" x14ac:dyDescent="0.3">
      <c r="A57" s="679" t="s">
        <v>961</v>
      </c>
      <c r="B57" s="541">
        <f>SUM(B54:B56)</f>
        <v>49</v>
      </c>
      <c r="C57" s="541">
        <f>SUM(C54:C56)</f>
        <v>70</v>
      </c>
      <c r="D57" s="541">
        <f>SUM(D54:D56)</f>
        <v>80</v>
      </c>
      <c r="E57" s="541">
        <f>SUM(E54:E56)</f>
        <v>89</v>
      </c>
      <c r="F57" s="541">
        <f>SUM(F54:F56)</f>
        <v>95</v>
      </c>
      <c r="G57" s="706">
        <f>AVERAGE(B57:F57)</f>
        <v>76.599999999999994</v>
      </c>
      <c r="H57" s="541">
        <f>SUM(H54:H56)</f>
        <v>100</v>
      </c>
      <c r="I57" s="706">
        <f>(H57+F57+E57+D57+C57)/5</f>
        <v>86.8</v>
      </c>
      <c r="J57" s="541">
        <f>SUM(J54:J56)</f>
        <v>106</v>
      </c>
      <c r="K57" s="706">
        <f>(J57+H57+F57+E57+D57)/5</f>
        <v>94</v>
      </c>
      <c r="L57" s="541">
        <f>SUM(L54:L56)</f>
        <v>116</v>
      </c>
      <c r="M57" s="706">
        <f>(L57+J57+H57+F57+E57)/5</f>
        <v>101.2</v>
      </c>
      <c r="N57" s="541">
        <f>SUM(N54:N56)</f>
        <v>104</v>
      </c>
      <c r="O57" s="785">
        <f>(+N57+L57+J57+H57+F57)/5</f>
        <v>104.2</v>
      </c>
      <c r="P57" s="715">
        <f>SUM(P54:P56)</f>
        <v>100</v>
      </c>
      <c r="Q57" s="792">
        <f>(P57+N57+L57+J57+H57)/5</f>
        <v>105.2</v>
      </c>
      <c r="R57" s="715">
        <f>SUM(R54:R56)</f>
        <v>92</v>
      </c>
      <c r="S57" s="792">
        <f>(R57+P57+N57+L57+J57)/5</f>
        <v>103.6</v>
      </c>
      <c r="T57" s="715">
        <f>SUM(T54:T56)</f>
        <v>114</v>
      </c>
      <c r="U57" s="792">
        <f>(T57+R57+P57+N57+L57)/5</f>
        <v>105.2</v>
      </c>
      <c r="V57" s="715">
        <f>SUM(V54:V56)</f>
        <v>124</v>
      </c>
      <c r="W57" s="792">
        <f>(V57+T57+R57+P57+N57)/5</f>
        <v>106.8</v>
      </c>
      <c r="X57" s="715">
        <f>SUM(X54:X56)</f>
        <v>154</v>
      </c>
      <c r="Y57" s="792">
        <f>(X57+V57+T57+R57+P57)/5</f>
        <v>116.8</v>
      </c>
      <c r="Z57" s="715">
        <f>SUM(Z54:Z56)</f>
        <v>171</v>
      </c>
      <c r="AA57" s="792">
        <f>(Z57+X57+V57+T57+R57)/5</f>
        <v>131</v>
      </c>
      <c r="AB57" s="715">
        <f>SUM(AB54:AB56)</f>
        <v>160</v>
      </c>
      <c r="AC57" s="792">
        <f>(AB57+Z57+X57+V57+T57)/5</f>
        <v>144.6</v>
      </c>
      <c r="AD57" s="715">
        <f>SUM(AD54:AD56)</f>
        <v>173</v>
      </c>
      <c r="AE57" s="792">
        <f>(AD57+AB57+Z57+X57+V57)/5</f>
        <v>156.4</v>
      </c>
    </row>
    <row r="58" spans="1:31" ht="18" customHeight="1" x14ac:dyDescent="0.3">
      <c r="A58" s="677" t="s">
        <v>413</v>
      </c>
      <c r="B58" s="704"/>
      <c r="C58" s="704"/>
      <c r="D58" s="704"/>
      <c r="E58" s="704"/>
      <c r="F58" s="537"/>
      <c r="G58" s="708"/>
      <c r="H58" s="537"/>
      <c r="I58" s="708"/>
      <c r="J58" s="537"/>
      <c r="K58" s="708"/>
      <c r="L58" s="537"/>
      <c r="M58" s="705"/>
      <c r="N58" s="537"/>
      <c r="O58" s="786"/>
      <c r="P58" s="552"/>
      <c r="Q58" s="552"/>
      <c r="R58" s="552"/>
      <c r="S58" s="552"/>
      <c r="T58" s="552"/>
      <c r="U58" s="552"/>
      <c r="V58" s="552"/>
      <c r="W58" s="552"/>
      <c r="X58" s="552"/>
      <c r="Y58" s="552"/>
      <c r="Z58" s="552"/>
      <c r="AA58" s="552"/>
      <c r="AB58" s="552"/>
      <c r="AC58" s="552"/>
      <c r="AD58" s="552"/>
      <c r="AE58" s="552"/>
    </row>
    <row r="59" spans="1:31" ht="18" customHeight="1" x14ac:dyDescent="0.3">
      <c r="A59" s="678" t="s">
        <v>1072</v>
      </c>
      <c r="B59" s="541">
        <v>20</v>
      </c>
      <c r="C59" s="541">
        <v>18</v>
      </c>
      <c r="D59" s="541">
        <v>16</v>
      </c>
      <c r="E59" s="541">
        <v>18</v>
      </c>
      <c r="F59" s="541">
        <v>24</v>
      </c>
      <c r="G59" s="706">
        <f t="shared" ref="G59:G66" si="34">AVERAGE(B59:F59)</f>
        <v>19.2</v>
      </c>
      <c r="H59" s="541">
        <v>24</v>
      </c>
      <c r="I59" s="706">
        <f t="shared" ref="I59:I66" si="35">(H59+F59+E59+D59+C59)/5</f>
        <v>20</v>
      </c>
      <c r="J59" s="541">
        <v>27</v>
      </c>
      <c r="K59" s="706">
        <f t="shared" ref="K59:K66" si="36">(J59+H59+F59+E59+D59)/5</f>
        <v>21.8</v>
      </c>
      <c r="L59" s="541">
        <v>31</v>
      </c>
      <c r="M59" s="706">
        <f t="shared" ref="M59:M66" si="37">(L59+J59+H59+F59+E59)/5</f>
        <v>24.8</v>
      </c>
      <c r="N59" s="541">
        <v>42</v>
      </c>
      <c r="O59" s="785">
        <f t="shared" ref="O59:O66" si="38">(+N59+L59+J59+H59+F59)/5</f>
        <v>29.6</v>
      </c>
      <c r="P59" s="715">
        <v>31</v>
      </c>
      <c r="Q59" s="792">
        <f t="shared" ref="Q59:Q66" si="39">(P59+N59+L59+J59+H59)/5</f>
        <v>31</v>
      </c>
      <c r="R59" s="715">
        <v>39</v>
      </c>
      <c r="S59" s="792">
        <f t="shared" ref="S59:S66" si="40">(R59+P59+N59+L59+J59)/5</f>
        <v>34</v>
      </c>
      <c r="T59" s="715">
        <v>44</v>
      </c>
      <c r="U59" s="792">
        <f t="shared" ref="U59:U66" si="41">(T59+R59+P59+N59+L59)/5</f>
        <v>37.4</v>
      </c>
      <c r="V59" s="715">
        <v>49</v>
      </c>
      <c r="W59" s="792">
        <f t="shared" ref="W59:W66" si="42">(V59+T59+R59+P59+N59)/5</f>
        <v>41</v>
      </c>
      <c r="X59" s="715">
        <v>14</v>
      </c>
      <c r="Y59" s="792">
        <f t="shared" ref="Y59:Y66" si="43">(X59+V59+T59+R59+P59)/5</f>
        <v>35.4</v>
      </c>
      <c r="Z59" s="715">
        <v>19</v>
      </c>
      <c r="AA59" s="792">
        <f t="shared" ref="AA59:AA66" si="44">(Z59+X59+V59+T59+R59)/5</f>
        <v>33</v>
      </c>
      <c r="AB59" s="715">
        <v>19</v>
      </c>
      <c r="AC59" s="792">
        <f t="shared" ref="AC59:AC66" si="45">(AB59+Z59+X59+V59+T59)/5</f>
        <v>29</v>
      </c>
      <c r="AD59" s="715">
        <v>21</v>
      </c>
      <c r="AE59" s="792">
        <f t="shared" ref="AE59:AE66" si="46">(AD59+AB59+Z59+X59+V59)/5</f>
        <v>24.4</v>
      </c>
    </row>
    <row r="60" spans="1:31" ht="18" customHeight="1" x14ac:dyDescent="0.3">
      <c r="A60" s="678" t="s">
        <v>1534</v>
      </c>
      <c r="B60" s="541">
        <v>0</v>
      </c>
      <c r="C60" s="541">
        <v>0</v>
      </c>
      <c r="D60" s="541">
        <v>0</v>
      </c>
      <c r="E60" s="541">
        <v>0</v>
      </c>
      <c r="F60" s="541">
        <v>0</v>
      </c>
      <c r="G60" s="706">
        <f t="shared" si="34"/>
        <v>0</v>
      </c>
      <c r="H60" s="541">
        <v>0</v>
      </c>
      <c r="I60" s="706">
        <f t="shared" si="35"/>
        <v>0</v>
      </c>
      <c r="J60" s="541">
        <v>0</v>
      </c>
      <c r="K60" s="706">
        <f t="shared" si="36"/>
        <v>0</v>
      </c>
      <c r="L60" s="541">
        <v>0</v>
      </c>
      <c r="M60" s="706">
        <f t="shared" si="37"/>
        <v>0</v>
      </c>
      <c r="N60" s="541">
        <v>0</v>
      </c>
      <c r="O60" s="785">
        <f t="shared" si="38"/>
        <v>0</v>
      </c>
      <c r="P60" s="715">
        <v>0</v>
      </c>
      <c r="Q60" s="792">
        <f t="shared" si="39"/>
        <v>0</v>
      </c>
      <c r="R60" s="715">
        <v>0</v>
      </c>
      <c r="S60" s="792">
        <f t="shared" si="40"/>
        <v>0</v>
      </c>
      <c r="T60" s="715">
        <v>0</v>
      </c>
      <c r="U60" s="792">
        <f t="shared" si="41"/>
        <v>0</v>
      </c>
      <c r="V60" s="715">
        <v>0</v>
      </c>
      <c r="W60" s="792">
        <f t="shared" si="42"/>
        <v>0</v>
      </c>
      <c r="X60" s="715">
        <v>0</v>
      </c>
      <c r="Y60" s="792">
        <f t="shared" si="43"/>
        <v>0</v>
      </c>
      <c r="Z60" s="715">
        <v>0</v>
      </c>
      <c r="AA60" s="792">
        <f t="shared" si="44"/>
        <v>0</v>
      </c>
      <c r="AB60" s="715">
        <v>0</v>
      </c>
      <c r="AC60" s="792">
        <f t="shared" si="45"/>
        <v>0</v>
      </c>
      <c r="AD60" s="715">
        <v>2</v>
      </c>
      <c r="AE60" s="792">
        <f t="shared" si="46"/>
        <v>0.4</v>
      </c>
    </row>
    <row r="61" spans="1:31" ht="18" customHeight="1" x14ac:dyDescent="0.3">
      <c r="A61" s="678" t="s">
        <v>1073</v>
      </c>
      <c r="B61" s="541">
        <v>24</v>
      </c>
      <c r="C61" s="541">
        <v>26</v>
      </c>
      <c r="D61" s="541">
        <v>21</v>
      </c>
      <c r="E61" s="541">
        <v>22</v>
      </c>
      <c r="F61" s="541">
        <v>20</v>
      </c>
      <c r="G61" s="706">
        <f t="shared" si="34"/>
        <v>22.6</v>
      </c>
      <c r="H61" s="541">
        <v>24</v>
      </c>
      <c r="I61" s="706">
        <f t="shared" si="35"/>
        <v>22.6</v>
      </c>
      <c r="J61" s="541">
        <v>20</v>
      </c>
      <c r="K61" s="706">
        <f t="shared" si="36"/>
        <v>21.4</v>
      </c>
      <c r="L61" s="541">
        <v>8</v>
      </c>
      <c r="M61" s="706">
        <f t="shared" si="37"/>
        <v>18.8</v>
      </c>
      <c r="N61" s="541">
        <v>0</v>
      </c>
      <c r="O61" s="785">
        <f t="shared" si="38"/>
        <v>14.4</v>
      </c>
      <c r="P61" s="715">
        <v>0</v>
      </c>
      <c r="Q61" s="792">
        <f t="shared" si="39"/>
        <v>10.4</v>
      </c>
      <c r="R61" s="715">
        <v>0</v>
      </c>
      <c r="S61" s="792">
        <f t="shared" si="40"/>
        <v>5.6</v>
      </c>
      <c r="T61" s="715">
        <v>0</v>
      </c>
      <c r="U61" s="792">
        <f t="shared" si="41"/>
        <v>1.6</v>
      </c>
      <c r="V61" s="715">
        <v>0</v>
      </c>
      <c r="W61" s="792">
        <f t="shared" si="42"/>
        <v>0</v>
      </c>
      <c r="X61" s="715">
        <v>30</v>
      </c>
      <c r="Y61" s="792">
        <f t="shared" si="43"/>
        <v>6</v>
      </c>
      <c r="Z61" s="715">
        <v>24</v>
      </c>
      <c r="AA61" s="792">
        <f t="shared" si="44"/>
        <v>10.8</v>
      </c>
      <c r="AB61" s="715">
        <v>20</v>
      </c>
      <c r="AC61" s="792">
        <f t="shared" si="45"/>
        <v>14.8</v>
      </c>
      <c r="AD61" s="715">
        <v>16</v>
      </c>
      <c r="AE61" s="792">
        <f t="shared" si="46"/>
        <v>18</v>
      </c>
    </row>
    <row r="62" spans="1:31" ht="18" customHeight="1" x14ac:dyDescent="0.3">
      <c r="A62" s="678" t="s">
        <v>1531</v>
      </c>
      <c r="B62" s="541">
        <v>0</v>
      </c>
      <c r="C62" s="541">
        <v>0</v>
      </c>
      <c r="D62" s="541">
        <v>0</v>
      </c>
      <c r="E62" s="541">
        <v>0</v>
      </c>
      <c r="F62" s="541">
        <v>0</v>
      </c>
      <c r="G62" s="706">
        <f t="shared" si="34"/>
        <v>0</v>
      </c>
      <c r="H62" s="541">
        <v>0</v>
      </c>
      <c r="I62" s="706">
        <f t="shared" si="35"/>
        <v>0</v>
      </c>
      <c r="J62" s="541">
        <v>0</v>
      </c>
      <c r="K62" s="706">
        <f t="shared" si="36"/>
        <v>0</v>
      </c>
      <c r="L62" s="541">
        <v>0</v>
      </c>
      <c r="M62" s="706">
        <f t="shared" si="37"/>
        <v>0</v>
      </c>
      <c r="N62" s="541">
        <v>0</v>
      </c>
      <c r="O62" s="785">
        <f t="shared" si="38"/>
        <v>0</v>
      </c>
      <c r="P62" s="715">
        <v>0</v>
      </c>
      <c r="Q62" s="792">
        <f t="shared" si="39"/>
        <v>0</v>
      </c>
      <c r="R62" s="715">
        <v>0</v>
      </c>
      <c r="S62" s="792">
        <f t="shared" si="40"/>
        <v>0</v>
      </c>
      <c r="T62" s="715">
        <v>0</v>
      </c>
      <c r="U62" s="792">
        <f t="shared" si="41"/>
        <v>0</v>
      </c>
      <c r="V62" s="715">
        <v>0</v>
      </c>
      <c r="W62" s="792">
        <f t="shared" si="42"/>
        <v>0</v>
      </c>
      <c r="X62" s="715">
        <v>0</v>
      </c>
      <c r="Y62" s="792">
        <f t="shared" si="43"/>
        <v>0</v>
      </c>
      <c r="Z62" s="715">
        <v>0</v>
      </c>
      <c r="AA62" s="792">
        <f t="shared" si="44"/>
        <v>0</v>
      </c>
      <c r="AB62" s="715">
        <v>0</v>
      </c>
      <c r="AC62" s="792">
        <f t="shared" si="45"/>
        <v>0</v>
      </c>
      <c r="AD62" s="715">
        <v>1</v>
      </c>
      <c r="AE62" s="792">
        <f t="shared" si="46"/>
        <v>0.2</v>
      </c>
    </row>
    <row r="63" spans="1:31" ht="18" customHeight="1" x14ac:dyDescent="0.3">
      <c r="A63" s="678" t="s">
        <v>1532</v>
      </c>
      <c r="B63" s="541">
        <v>0</v>
      </c>
      <c r="C63" s="541">
        <v>0</v>
      </c>
      <c r="D63" s="541">
        <v>0</v>
      </c>
      <c r="E63" s="541">
        <v>0</v>
      </c>
      <c r="F63" s="541">
        <v>0</v>
      </c>
      <c r="G63" s="706">
        <f t="shared" si="34"/>
        <v>0</v>
      </c>
      <c r="H63" s="541">
        <v>0</v>
      </c>
      <c r="I63" s="706">
        <f t="shared" si="35"/>
        <v>0</v>
      </c>
      <c r="J63" s="541">
        <v>0</v>
      </c>
      <c r="K63" s="706">
        <f t="shared" si="36"/>
        <v>0</v>
      </c>
      <c r="L63" s="541">
        <v>0</v>
      </c>
      <c r="M63" s="706">
        <f t="shared" si="37"/>
        <v>0</v>
      </c>
      <c r="N63" s="541">
        <v>0</v>
      </c>
      <c r="O63" s="785">
        <f t="shared" si="38"/>
        <v>0</v>
      </c>
      <c r="P63" s="715">
        <v>0</v>
      </c>
      <c r="Q63" s="792">
        <f t="shared" si="39"/>
        <v>0</v>
      </c>
      <c r="R63" s="715">
        <v>0</v>
      </c>
      <c r="S63" s="792">
        <f t="shared" si="40"/>
        <v>0</v>
      </c>
      <c r="T63" s="715">
        <v>0</v>
      </c>
      <c r="U63" s="792">
        <f t="shared" si="41"/>
        <v>0</v>
      </c>
      <c r="V63" s="715">
        <v>0</v>
      </c>
      <c r="W63" s="792">
        <f t="shared" si="42"/>
        <v>0</v>
      </c>
      <c r="X63" s="715">
        <v>0</v>
      </c>
      <c r="Y63" s="792">
        <f t="shared" si="43"/>
        <v>0</v>
      </c>
      <c r="Z63" s="715">
        <v>0</v>
      </c>
      <c r="AA63" s="792">
        <f t="shared" si="44"/>
        <v>0</v>
      </c>
      <c r="AB63" s="715">
        <v>0</v>
      </c>
      <c r="AC63" s="792">
        <f t="shared" si="45"/>
        <v>0</v>
      </c>
      <c r="AD63" s="715">
        <v>4</v>
      </c>
      <c r="AE63" s="792">
        <f t="shared" si="46"/>
        <v>0.8</v>
      </c>
    </row>
    <row r="64" spans="1:31" ht="18" customHeight="1" x14ac:dyDescent="0.3">
      <c r="A64" s="678" t="s">
        <v>1533</v>
      </c>
      <c r="B64" s="541">
        <v>0</v>
      </c>
      <c r="C64" s="541">
        <v>0</v>
      </c>
      <c r="D64" s="541">
        <v>0</v>
      </c>
      <c r="E64" s="541">
        <v>0</v>
      </c>
      <c r="F64" s="541">
        <v>0</v>
      </c>
      <c r="G64" s="706">
        <f t="shared" si="34"/>
        <v>0</v>
      </c>
      <c r="H64" s="541">
        <v>0</v>
      </c>
      <c r="I64" s="706">
        <f t="shared" si="35"/>
        <v>0</v>
      </c>
      <c r="J64" s="541">
        <v>0</v>
      </c>
      <c r="K64" s="706">
        <f t="shared" si="36"/>
        <v>0</v>
      </c>
      <c r="L64" s="541">
        <v>0</v>
      </c>
      <c r="M64" s="706">
        <f t="shared" si="37"/>
        <v>0</v>
      </c>
      <c r="N64" s="541">
        <v>0</v>
      </c>
      <c r="O64" s="785">
        <f t="shared" si="38"/>
        <v>0</v>
      </c>
      <c r="P64" s="715">
        <v>0</v>
      </c>
      <c r="Q64" s="792">
        <f t="shared" si="39"/>
        <v>0</v>
      </c>
      <c r="R64" s="715">
        <v>0</v>
      </c>
      <c r="S64" s="792">
        <f t="shared" si="40"/>
        <v>0</v>
      </c>
      <c r="T64" s="715">
        <v>0</v>
      </c>
      <c r="U64" s="792">
        <f t="shared" si="41"/>
        <v>0</v>
      </c>
      <c r="V64" s="715">
        <v>0</v>
      </c>
      <c r="W64" s="792">
        <f t="shared" si="42"/>
        <v>0</v>
      </c>
      <c r="X64" s="715">
        <v>0</v>
      </c>
      <c r="Y64" s="792">
        <f t="shared" si="43"/>
        <v>0</v>
      </c>
      <c r="Z64" s="715">
        <v>0</v>
      </c>
      <c r="AA64" s="792">
        <f t="shared" si="44"/>
        <v>0</v>
      </c>
      <c r="AB64" s="715">
        <v>0</v>
      </c>
      <c r="AC64" s="792">
        <f t="shared" si="45"/>
        <v>0</v>
      </c>
      <c r="AD64" s="715">
        <v>1</v>
      </c>
      <c r="AE64" s="792">
        <f t="shared" si="46"/>
        <v>0.2</v>
      </c>
    </row>
    <row r="65" spans="1:31" ht="18" customHeight="1" x14ac:dyDescent="0.3">
      <c r="A65" s="679" t="s">
        <v>961</v>
      </c>
      <c r="B65" s="541">
        <f>SUM(B59:B64)</f>
        <v>44</v>
      </c>
      <c r="C65" s="541">
        <f>SUM(C59:C64)</f>
        <v>44</v>
      </c>
      <c r="D65" s="541">
        <f>SUM(D59:D64)</f>
        <v>37</v>
      </c>
      <c r="E65" s="541">
        <f>SUM(E59:E64)</f>
        <v>40</v>
      </c>
      <c r="F65" s="541">
        <f>SUM(F59:F64)</f>
        <v>44</v>
      </c>
      <c r="G65" s="706">
        <f t="shared" si="34"/>
        <v>41.8</v>
      </c>
      <c r="H65" s="541">
        <f>SUM(H59:H64)</f>
        <v>48</v>
      </c>
      <c r="I65" s="706">
        <f t="shared" si="35"/>
        <v>42.6</v>
      </c>
      <c r="J65" s="541">
        <f>SUM(J59:J64)</f>
        <v>47</v>
      </c>
      <c r="K65" s="706">
        <f t="shared" si="36"/>
        <v>43.2</v>
      </c>
      <c r="L65" s="541">
        <f>SUM(L59:L64)</f>
        <v>39</v>
      </c>
      <c r="M65" s="706">
        <f t="shared" si="37"/>
        <v>43.6</v>
      </c>
      <c r="N65" s="541">
        <f>SUM(N59:N64)</f>
        <v>42</v>
      </c>
      <c r="O65" s="785">
        <f t="shared" si="38"/>
        <v>44</v>
      </c>
      <c r="P65" s="541">
        <f>SUM(P59:P64)</f>
        <v>31</v>
      </c>
      <c r="Q65" s="792">
        <f t="shared" si="39"/>
        <v>41.4</v>
      </c>
      <c r="R65" s="541">
        <f>SUM(R59:R64)</f>
        <v>39</v>
      </c>
      <c r="S65" s="792">
        <f t="shared" si="40"/>
        <v>39.6</v>
      </c>
      <c r="T65" s="541">
        <f>SUM(T59:T64)</f>
        <v>44</v>
      </c>
      <c r="U65" s="792">
        <f t="shared" si="41"/>
        <v>39</v>
      </c>
      <c r="V65" s="541">
        <f>SUM(V59:V64)</f>
        <v>49</v>
      </c>
      <c r="W65" s="792">
        <f t="shared" si="42"/>
        <v>41</v>
      </c>
      <c r="X65" s="541">
        <f>SUM(X59:X64)</f>
        <v>44</v>
      </c>
      <c r="Y65" s="792">
        <f t="shared" si="43"/>
        <v>41.4</v>
      </c>
      <c r="Z65" s="541">
        <f>SUM(Z59:Z64)</f>
        <v>43</v>
      </c>
      <c r="AA65" s="792">
        <f t="shared" si="44"/>
        <v>43.8</v>
      </c>
      <c r="AB65" s="541">
        <f>SUM(AB59:AB64)</f>
        <v>39</v>
      </c>
      <c r="AC65" s="792">
        <f t="shared" si="45"/>
        <v>43.8</v>
      </c>
      <c r="AD65" s="541">
        <f>SUM(AD59:AD64)</f>
        <v>45</v>
      </c>
      <c r="AE65" s="792">
        <f t="shared" si="46"/>
        <v>44</v>
      </c>
    </row>
    <row r="66" spans="1:31" ht="18" customHeight="1" thickBot="1" x14ac:dyDescent="0.35">
      <c r="A66" s="971" t="s">
        <v>414</v>
      </c>
      <c r="B66" s="972">
        <f>+B65+B57+B52+B48+B42</f>
        <v>306</v>
      </c>
      <c r="C66" s="972">
        <f>+C65+C57+C52+C48+C42</f>
        <v>315</v>
      </c>
      <c r="D66" s="972">
        <f>+D65+D57+D52+D48+D42</f>
        <v>288</v>
      </c>
      <c r="E66" s="972">
        <f>+E65+E57+E52+E48+E42</f>
        <v>287</v>
      </c>
      <c r="F66" s="972">
        <f>+F65+F57+F52+F48+F42</f>
        <v>322</v>
      </c>
      <c r="G66" s="973">
        <f t="shared" si="34"/>
        <v>303.60000000000002</v>
      </c>
      <c r="H66" s="972">
        <f>+H65+H57+H52+H48+H42</f>
        <v>351</v>
      </c>
      <c r="I66" s="973">
        <f t="shared" si="35"/>
        <v>312.60000000000002</v>
      </c>
      <c r="J66" s="972">
        <f>+J65+J57+J52+J48+J42</f>
        <v>363</v>
      </c>
      <c r="K66" s="973">
        <f t="shared" si="36"/>
        <v>322.2</v>
      </c>
      <c r="L66" s="972">
        <f>+L65+L57+L52+L48+L42</f>
        <v>385</v>
      </c>
      <c r="M66" s="973">
        <f t="shared" si="37"/>
        <v>341.6</v>
      </c>
      <c r="N66" s="972">
        <f>+N65+N57+N52+N48+N42</f>
        <v>363</v>
      </c>
      <c r="O66" s="974">
        <f t="shared" si="38"/>
        <v>356.8</v>
      </c>
      <c r="P66" s="975">
        <f>+P65+P57+P52+P48+P42</f>
        <v>359</v>
      </c>
      <c r="Q66" s="976">
        <f t="shared" si="39"/>
        <v>364.2</v>
      </c>
      <c r="R66" s="975">
        <f>+R65+R57+R52+R48+R42</f>
        <v>353</v>
      </c>
      <c r="S66" s="976">
        <f t="shared" si="40"/>
        <v>364.6</v>
      </c>
      <c r="T66" s="975">
        <f>+T65+T57+T52+T48+T42</f>
        <v>334</v>
      </c>
      <c r="U66" s="976">
        <f t="shared" si="41"/>
        <v>358.8</v>
      </c>
      <c r="V66" s="975">
        <f>+V65+V57+V52+V48+V42</f>
        <v>377</v>
      </c>
      <c r="W66" s="976">
        <f t="shared" si="42"/>
        <v>357.2</v>
      </c>
      <c r="X66" s="975">
        <f>+X65+X57+X52+X48+X42</f>
        <v>441</v>
      </c>
      <c r="Y66" s="976">
        <f t="shared" si="43"/>
        <v>372.8</v>
      </c>
      <c r="Z66" s="975">
        <f>+Z65+Z57+Z52+Z48+Z42</f>
        <v>462</v>
      </c>
      <c r="AA66" s="976">
        <f t="shared" si="44"/>
        <v>393.4</v>
      </c>
      <c r="AB66" s="975">
        <f>+AB65+AB57+AB52+AB48+AB42</f>
        <v>446</v>
      </c>
      <c r="AC66" s="976">
        <f t="shared" si="45"/>
        <v>412</v>
      </c>
      <c r="AD66" s="975">
        <f>+AD65+AD57+AD52+AD48+AD42</f>
        <v>475</v>
      </c>
      <c r="AE66" s="976">
        <f t="shared" si="46"/>
        <v>440.2</v>
      </c>
    </row>
    <row r="67" spans="1:31" ht="20.25" customHeight="1" thickBot="1" x14ac:dyDescent="0.35">
      <c r="A67" s="1718" t="s">
        <v>415</v>
      </c>
      <c r="B67" s="1719"/>
      <c r="C67" s="1719"/>
      <c r="D67" s="1719"/>
      <c r="E67" s="1719"/>
      <c r="F67" s="1719"/>
      <c r="G67" s="1719"/>
      <c r="H67" s="1719"/>
      <c r="I67" s="1719"/>
      <c r="J67" s="1719"/>
      <c r="K67" s="1719"/>
      <c r="L67" s="1719"/>
      <c r="M67" s="1719"/>
      <c r="N67" s="1719"/>
      <c r="O67" s="1719"/>
      <c r="P67" s="1719"/>
      <c r="Q67" s="1719"/>
      <c r="R67" s="1719"/>
      <c r="S67" s="1719"/>
      <c r="T67" s="1719"/>
      <c r="U67" s="1719"/>
      <c r="V67" s="1719"/>
      <c r="W67" s="1719"/>
      <c r="X67" s="1719"/>
      <c r="Y67" s="1719"/>
      <c r="Z67" s="1719"/>
      <c r="AA67" s="1719"/>
      <c r="AB67" s="1719"/>
      <c r="AC67" s="1719"/>
      <c r="AD67" s="1719"/>
      <c r="AE67" s="1720"/>
    </row>
    <row r="68" spans="1:31" ht="20.25" customHeight="1" x14ac:dyDescent="0.3">
      <c r="A68" s="675" t="s">
        <v>401</v>
      </c>
      <c r="B68" s="702">
        <v>1996</v>
      </c>
      <c r="C68" s="702">
        <v>1997</v>
      </c>
      <c r="D68" s="702">
        <v>1998</v>
      </c>
      <c r="E68" s="702">
        <v>1999</v>
      </c>
      <c r="F68" s="672">
        <v>2000</v>
      </c>
      <c r="G68" s="703" t="s">
        <v>378</v>
      </c>
      <c r="H68" s="673">
        <f>F68+1</f>
        <v>2001</v>
      </c>
      <c r="I68" s="703" t="s">
        <v>378</v>
      </c>
      <c r="J68" s="673">
        <f>+H68+1</f>
        <v>2002</v>
      </c>
      <c r="K68" s="703" t="s">
        <v>378</v>
      </c>
      <c r="L68" s="673">
        <f>J68+1</f>
        <v>2003</v>
      </c>
      <c r="M68" s="703" t="s">
        <v>378</v>
      </c>
      <c r="N68" s="673">
        <f>L68+1</f>
        <v>2004</v>
      </c>
      <c r="O68" s="782" t="s">
        <v>378</v>
      </c>
      <c r="P68" s="789">
        <f>N68+1</f>
        <v>2005</v>
      </c>
      <c r="Q68" s="790" t="s">
        <v>378</v>
      </c>
      <c r="R68" s="789">
        <f>P68+1</f>
        <v>2006</v>
      </c>
      <c r="S68" s="790" t="s">
        <v>378</v>
      </c>
      <c r="T68" s="789">
        <f>R68+1</f>
        <v>2007</v>
      </c>
      <c r="U68" s="790" t="s">
        <v>378</v>
      </c>
      <c r="V68" s="789">
        <f>T68+1</f>
        <v>2008</v>
      </c>
      <c r="W68" s="790" t="s">
        <v>378</v>
      </c>
      <c r="X68" s="789">
        <f>V68+1</f>
        <v>2009</v>
      </c>
      <c r="Y68" s="790" t="s">
        <v>378</v>
      </c>
      <c r="Z68" s="789">
        <f>X68+1</f>
        <v>2010</v>
      </c>
      <c r="AA68" s="790" t="s">
        <v>378</v>
      </c>
      <c r="AB68" s="789">
        <f>Z68+1</f>
        <v>2011</v>
      </c>
      <c r="AC68" s="790" t="s">
        <v>378</v>
      </c>
      <c r="AD68" s="789">
        <f>AB68+1</f>
        <v>2012</v>
      </c>
      <c r="AE68" s="790" t="s">
        <v>378</v>
      </c>
    </row>
    <row r="69" spans="1:31" ht="18" customHeight="1" x14ac:dyDescent="0.3">
      <c r="A69" s="677" t="s">
        <v>970</v>
      </c>
      <c r="B69" s="704"/>
      <c r="C69" s="704"/>
      <c r="D69" s="704"/>
      <c r="E69" s="704"/>
      <c r="F69" s="537"/>
      <c r="G69" s="705"/>
      <c r="H69" s="537"/>
      <c r="I69" s="705"/>
      <c r="J69" s="537"/>
      <c r="K69" s="705"/>
      <c r="L69" s="537"/>
      <c r="M69" s="705"/>
      <c r="N69" s="537"/>
      <c r="O69" s="787"/>
      <c r="P69" s="552"/>
      <c r="Q69" s="552"/>
      <c r="R69" s="552"/>
      <c r="S69" s="552"/>
      <c r="T69" s="552"/>
      <c r="U69" s="552"/>
      <c r="V69" s="552"/>
      <c r="W69" s="552"/>
      <c r="X69" s="552"/>
      <c r="Y69" s="552"/>
      <c r="Z69" s="552"/>
      <c r="AA69" s="552"/>
      <c r="AB69" s="552"/>
      <c r="AC69" s="552"/>
      <c r="AD69" s="552"/>
      <c r="AE69" s="552"/>
    </row>
    <row r="70" spans="1:31" ht="18" customHeight="1" x14ac:dyDescent="0.3">
      <c r="A70" s="678" t="s">
        <v>1113</v>
      </c>
      <c r="B70" s="541">
        <v>7</v>
      </c>
      <c r="C70" s="541">
        <v>9</v>
      </c>
      <c r="D70" s="541">
        <v>10</v>
      </c>
      <c r="E70" s="541">
        <v>7</v>
      </c>
      <c r="F70" s="541">
        <v>0</v>
      </c>
      <c r="G70" s="706">
        <f t="shared" ref="G70:G88" si="47">AVERAGE(B70:F70)</f>
        <v>6.6</v>
      </c>
      <c r="H70" s="541">
        <v>11</v>
      </c>
      <c r="I70" s="706">
        <f t="shared" ref="I70:I88" si="48">(H70+F70+E70+D70+C70)/5</f>
        <v>7.4</v>
      </c>
      <c r="J70" s="541">
        <v>12</v>
      </c>
      <c r="K70" s="706">
        <f t="shared" ref="K70:K88" si="49">(J70+H70+F70+E70+D70)/5</f>
        <v>8</v>
      </c>
      <c r="L70" s="541">
        <v>9</v>
      </c>
      <c r="M70" s="706">
        <f t="shared" ref="M70:M88" si="50">(L70+J70+H70+F70+E70)/5</f>
        <v>7.8</v>
      </c>
      <c r="N70" s="541">
        <v>7</v>
      </c>
      <c r="O70" s="785">
        <f t="shared" ref="O70:O88" si="51">(+N70+L70+J70+H70+F70)/5</f>
        <v>7.8</v>
      </c>
      <c r="P70" s="715">
        <v>6</v>
      </c>
      <c r="Q70" s="792">
        <f t="shared" ref="Q70:Q88" si="52">(P70+N70+L70+J70+H70)/5</f>
        <v>9</v>
      </c>
      <c r="R70" s="715">
        <v>11</v>
      </c>
      <c r="S70" s="792">
        <f t="shared" ref="S70:S88" si="53">(R70+P70+N70+L70+J70)/5</f>
        <v>9</v>
      </c>
      <c r="T70" s="715">
        <v>10</v>
      </c>
      <c r="U70" s="792">
        <f t="shared" ref="U70:U79" si="54">(T70+R70+P70+N70+L70)/5</f>
        <v>8.6</v>
      </c>
      <c r="V70" s="715">
        <v>17</v>
      </c>
      <c r="W70" s="792">
        <f t="shared" ref="W70:W80" si="55">(V70+T70+R70+P70+N70)/5</f>
        <v>10.199999999999999</v>
      </c>
      <c r="X70" s="715">
        <v>5</v>
      </c>
      <c r="Y70" s="792">
        <f t="shared" ref="Y70:Y80" si="56">(X70+V70+T70+R70+P70)/5</f>
        <v>9.8000000000000007</v>
      </c>
      <c r="Z70" s="715">
        <v>13</v>
      </c>
      <c r="AA70" s="792">
        <f t="shared" ref="AA70:AA80" si="57">(Z70+X70+V70+T70+R70)/5</f>
        <v>11.2</v>
      </c>
      <c r="AB70" s="715">
        <v>5</v>
      </c>
      <c r="AC70" s="792">
        <f t="shared" ref="AC70:AC80" si="58">(AB70+Z70+X70+V70+T70)/5</f>
        <v>10</v>
      </c>
      <c r="AD70" s="715">
        <v>7</v>
      </c>
      <c r="AE70" s="792">
        <f t="shared" ref="AE70:AE84" si="59">(AD70+AB70+Z70+X70+V70)/5</f>
        <v>9.4</v>
      </c>
    </row>
    <row r="71" spans="1:31" ht="18" customHeight="1" x14ac:dyDescent="0.3">
      <c r="A71" s="678" t="s">
        <v>380</v>
      </c>
      <c r="B71" s="541">
        <v>6</v>
      </c>
      <c r="C71" s="541">
        <v>7</v>
      </c>
      <c r="D71" s="541">
        <v>5</v>
      </c>
      <c r="E71" s="541">
        <v>0</v>
      </c>
      <c r="F71" s="541">
        <v>0</v>
      </c>
      <c r="G71" s="706">
        <f t="shared" si="47"/>
        <v>3.6</v>
      </c>
      <c r="H71" s="541">
        <v>0</v>
      </c>
      <c r="I71" s="706">
        <f t="shared" si="48"/>
        <v>2.4</v>
      </c>
      <c r="J71" s="541">
        <v>0</v>
      </c>
      <c r="K71" s="706">
        <f t="shared" si="49"/>
        <v>1</v>
      </c>
      <c r="L71" s="541">
        <v>0</v>
      </c>
      <c r="M71" s="706">
        <f t="shared" si="50"/>
        <v>0</v>
      </c>
      <c r="N71" s="541">
        <v>0</v>
      </c>
      <c r="O71" s="785">
        <f t="shared" si="51"/>
        <v>0</v>
      </c>
      <c r="P71" s="715">
        <v>0</v>
      </c>
      <c r="Q71" s="792">
        <f t="shared" si="52"/>
        <v>0</v>
      </c>
      <c r="R71" s="715">
        <v>0</v>
      </c>
      <c r="S71" s="792">
        <f t="shared" si="53"/>
        <v>0</v>
      </c>
      <c r="T71" s="715">
        <v>0</v>
      </c>
      <c r="U71" s="792">
        <f t="shared" si="54"/>
        <v>0</v>
      </c>
      <c r="V71" s="715">
        <v>0</v>
      </c>
      <c r="W71" s="792">
        <f t="shared" si="55"/>
        <v>0</v>
      </c>
      <c r="X71" s="715">
        <v>0</v>
      </c>
      <c r="Y71" s="792">
        <f t="shared" si="56"/>
        <v>0</v>
      </c>
      <c r="Z71" s="715">
        <v>0</v>
      </c>
      <c r="AA71" s="792">
        <f t="shared" si="57"/>
        <v>0</v>
      </c>
      <c r="AB71" s="715">
        <v>0</v>
      </c>
      <c r="AC71" s="792">
        <f t="shared" si="58"/>
        <v>0</v>
      </c>
      <c r="AD71" s="715">
        <v>0</v>
      </c>
      <c r="AE71" s="792">
        <f t="shared" si="59"/>
        <v>0</v>
      </c>
    </row>
    <row r="72" spans="1:31" ht="18" customHeight="1" x14ac:dyDescent="0.3">
      <c r="A72" s="678" t="s">
        <v>381</v>
      </c>
      <c r="B72" s="541">
        <v>4</v>
      </c>
      <c r="C72" s="541">
        <v>3</v>
      </c>
      <c r="D72" s="541">
        <v>2</v>
      </c>
      <c r="E72" s="541">
        <v>1</v>
      </c>
      <c r="F72" s="541">
        <v>0</v>
      </c>
      <c r="G72" s="706">
        <f t="shared" si="47"/>
        <v>2</v>
      </c>
      <c r="H72" s="541">
        <v>0</v>
      </c>
      <c r="I72" s="706">
        <f t="shared" si="48"/>
        <v>1.2</v>
      </c>
      <c r="J72" s="541">
        <v>0</v>
      </c>
      <c r="K72" s="706">
        <f t="shared" si="49"/>
        <v>0.6</v>
      </c>
      <c r="L72" s="541">
        <v>0</v>
      </c>
      <c r="M72" s="706">
        <f t="shared" si="50"/>
        <v>0.2</v>
      </c>
      <c r="N72" s="541">
        <v>0</v>
      </c>
      <c r="O72" s="785">
        <f t="shared" si="51"/>
        <v>0</v>
      </c>
      <c r="P72" s="715">
        <v>0</v>
      </c>
      <c r="Q72" s="792">
        <f t="shared" si="52"/>
        <v>0</v>
      </c>
      <c r="R72" s="715">
        <v>0</v>
      </c>
      <c r="S72" s="792">
        <f t="shared" si="53"/>
        <v>0</v>
      </c>
      <c r="T72" s="715">
        <v>0</v>
      </c>
      <c r="U72" s="792">
        <f t="shared" si="54"/>
        <v>0</v>
      </c>
      <c r="V72" s="715">
        <v>0</v>
      </c>
      <c r="W72" s="792">
        <f t="shared" si="55"/>
        <v>0</v>
      </c>
      <c r="X72" s="715">
        <v>0</v>
      </c>
      <c r="Y72" s="792">
        <f t="shared" si="56"/>
        <v>0</v>
      </c>
      <c r="Z72" s="715">
        <v>0</v>
      </c>
      <c r="AA72" s="792">
        <f t="shared" si="57"/>
        <v>0</v>
      </c>
      <c r="AB72" s="715">
        <v>0</v>
      </c>
      <c r="AC72" s="792">
        <f t="shared" si="58"/>
        <v>0</v>
      </c>
      <c r="AD72" s="715">
        <v>0</v>
      </c>
      <c r="AE72" s="792">
        <f t="shared" si="59"/>
        <v>0</v>
      </c>
    </row>
    <row r="73" spans="1:31" ht="18" customHeight="1" x14ac:dyDescent="0.3">
      <c r="A73" s="678" t="s">
        <v>1114</v>
      </c>
      <c r="B73" s="541">
        <v>102</v>
      </c>
      <c r="C73" s="541">
        <v>98</v>
      </c>
      <c r="D73" s="541">
        <v>85</v>
      </c>
      <c r="E73" s="541">
        <v>76</v>
      </c>
      <c r="F73" s="541">
        <v>79</v>
      </c>
      <c r="G73" s="706">
        <f t="shared" si="47"/>
        <v>88</v>
      </c>
      <c r="H73" s="541">
        <f>98+8</f>
        <v>106</v>
      </c>
      <c r="I73" s="706">
        <f t="shared" si="48"/>
        <v>88.8</v>
      </c>
      <c r="J73" s="541">
        <f>113+2</f>
        <v>115</v>
      </c>
      <c r="K73" s="706">
        <f t="shared" si="49"/>
        <v>92.2</v>
      </c>
      <c r="L73" s="541">
        <f>121-3</f>
        <v>118</v>
      </c>
      <c r="M73" s="706">
        <f t="shared" si="50"/>
        <v>98.8</v>
      </c>
      <c r="N73" s="541">
        <v>112</v>
      </c>
      <c r="O73" s="785">
        <f t="shared" si="51"/>
        <v>106</v>
      </c>
      <c r="P73" s="715">
        <v>129</v>
      </c>
      <c r="Q73" s="792">
        <f t="shared" si="52"/>
        <v>116</v>
      </c>
      <c r="R73" s="715">
        <v>125</v>
      </c>
      <c r="S73" s="792">
        <f t="shared" si="53"/>
        <v>119.8</v>
      </c>
      <c r="T73" s="715">
        <v>145</v>
      </c>
      <c r="U73" s="792">
        <f t="shared" si="54"/>
        <v>125.8</v>
      </c>
      <c r="V73" s="715">
        <v>142</v>
      </c>
      <c r="W73" s="792">
        <f t="shared" si="55"/>
        <v>130.6</v>
      </c>
      <c r="X73" s="715">
        <v>162</v>
      </c>
      <c r="Y73" s="792">
        <f t="shared" si="56"/>
        <v>140.6</v>
      </c>
      <c r="Z73" s="715">
        <v>160</v>
      </c>
      <c r="AA73" s="792">
        <f t="shared" si="57"/>
        <v>146.80000000000001</v>
      </c>
      <c r="AB73" s="715">
        <v>157</v>
      </c>
      <c r="AC73" s="792">
        <f t="shared" si="58"/>
        <v>153.19999999999999</v>
      </c>
      <c r="AD73" s="715">
        <v>142</v>
      </c>
      <c r="AE73" s="792">
        <f t="shared" si="59"/>
        <v>152.6</v>
      </c>
    </row>
    <row r="74" spans="1:31" ht="18" customHeight="1" x14ac:dyDescent="0.3">
      <c r="A74" s="540" t="s">
        <v>512</v>
      </c>
      <c r="B74" s="541">
        <v>0</v>
      </c>
      <c r="C74" s="541">
        <v>0</v>
      </c>
      <c r="D74" s="541">
        <v>0</v>
      </c>
      <c r="E74" s="541">
        <v>0</v>
      </c>
      <c r="F74" s="541">
        <v>0</v>
      </c>
      <c r="G74" s="706">
        <f t="shared" si="47"/>
        <v>0</v>
      </c>
      <c r="H74" s="541">
        <v>0</v>
      </c>
      <c r="I74" s="706">
        <f t="shared" si="48"/>
        <v>0</v>
      </c>
      <c r="J74" s="541">
        <v>0</v>
      </c>
      <c r="K74" s="706">
        <f t="shared" si="49"/>
        <v>0</v>
      </c>
      <c r="L74" s="541">
        <v>3</v>
      </c>
      <c r="M74" s="706">
        <f t="shared" si="50"/>
        <v>0.6</v>
      </c>
      <c r="N74" s="541">
        <v>3</v>
      </c>
      <c r="O74" s="785">
        <f t="shared" si="51"/>
        <v>1.2</v>
      </c>
      <c r="P74" s="715">
        <v>2</v>
      </c>
      <c r="Q74" s="792">
        <f t="shared" si="52"/>
        <v>1.6</v>
      </c>
      <c r="R74" s="715">
        <v>3</v>
      </c>
      <c r="S74" s="792">
        <f t="shared" si="53"/>
        <v>2.2000000000000002</v>
      </c>
      <c r="T74" s="715">
        <v>5</v>
      </c>
      <c r="U74" s="792">
        <f t="shared" si="54"/>
        <v>3.2</v>
      </c>
      <c r="V74" s="715">
        <v>6</v>
      </c>
      <c r="W74" s="792">
        <f t="shared" si="55"/>
        <v>3.8</v>
      </c>
      <c r="X74" s="715">
        <v>5</v>
      </c>
      <c r="Y74" s="792">
        <f t="shared" si="56"/>
        <v>4.2</v>
      </c>
      <c r="Z74" s="715">
        <v>2</v>
      </c>
      <c r="AA74" s="792">
        <f t="shared" si="57"/>
        <v>4.2</v>
      </c>
      <c r="AB74" s="715">
        <v>5</v>
      </c>
      <c r="AC74" s="792">
        <f t="shared" si="58"/>
        <v>4.5999999999999996</v>
      </c>
      <c r="AD74" s="715">
        <v>7</v>
      </c>
      <c r="AE74" s="792">
        <f t="shared" si="59"/>
        <v>5</v>
      </c>
    </row>
    <row r="75" spans="1:31" ht="18" customHeight="1" x14ac:dyDescent="0.3">
      <c r="A75" s="678" t="s">
        <v>1115</v>
      </c>
      <c r="B75" s="541">
        <v>196</v>
      </c>
      <c r="C75" s="541">
        <v>185</v>
      </c>
      <c r="D75" s="541">
        <v>167</v>
      </c>
      <c r="E75" s="541">
        <v>167</v>
      </c>
      <c r="F75" s="541">
        <v>189</v>
      </c>
      <c r="G75" s="706">
        <f t="shared" si="47"/>
        <v>180.8</v>
      </c>
      <c r="H75" s="541">
        <v>208</v>
      </c>
      <c r="I75" s="706">
        <f t="shared" si="48"/>
        <v>183.2</v>
      </c>
      <c r="J75" s="541">
        <v>222</v>
      </c>
      <c r="K75" s="706">
        <f t="shared" si="49"/>
        <v>190.6</v>
      </c>
      <c r="L75" s="541">
        <f>269-57</f>
        <v>212</v>
      </c>
      <c r="M75" s="706">
        <f t="shared" si="50"/>
        <v>199.6</v>
      </c>
      <c r="N75" s="541">
        <v>168</v>
      </c>
      <c r="O75" s="785">
        <f t="shared" si="51"/>
        <v>199.8</v>
      </c>
      <c r="P75" s="715">
        <v>197</v>
      </c>
      <c r="Q75" s="792">
        <f t="shared" si="52"/>
        <v>201.4</v>
      </c>
      <c r="R75" s="715">
        <v>177</v>
      </c>
      <c r="S75" s="792">
        <f t="shared" si="53"/>
        <v>195.2</v>
      </c>
      <c r="T75" s="715">
        <v>138</v>
      </c>
      <c r="U75" s="792">
        <f t="shared" si="54"/>
        <v>178.4</v>
      </c>
      <c r="V75" s="715">
        <v>142</v>
      </c>
      <c r="W75" s="792">
        <f t="shared" si="55"/>
        <v>164.4</v>
      </c>
      <c r="X75" s="715">
        <v>180</v>
      </c>
      <c r="Y75" s="792">
        <f t="shared" si="56"/>
        <v>166.8</v>
      </c>
      <c r="Z75" s="715">
        <v>135</v>
      </c>
      <c r="AA75" s="792">
        <f t="shared" si="57"/>
        <v>154.4</v>
      </c>
      <c r="AB75" s="715">
        <v>112</v>
      </c>
      <c r="AC75" s="792">
        <f t="shared" si="58"/>
        <v>141.4</v>
      </c>
      <c r="AD75" s="715">
        <v>107</v>
      </c>
      <c r="AE75" s="792">
        <f t="shared" si="59"/>
        <v>135.19999999999999</v>
      </c>
    </row>
    <row r="76" spans="1:31" ht="18" customHeight="1" x14ac:dyDescent="0.3">
      <c r="A76" s="678" t="s">
        <v>1116</v>
      </c>
      <c r="B76" s="541">
        <v>32</v>
      </c>
      <c r="C76" s="541">
        <v>37</v>
      </c>
      <c r="D76" s="541">
        <v>33</v>
      </c>
      <c r="E76" s="541">
        <v>34</v>
      </c>
      <c r="F76" s="541">
        <v>65</v>
      </c>
      <c r="G76" s="706">
        <f t="shared" si="47"/>
        <v>40.200000000000003</v>
      </c>
      <c r="H76" s="541">
        <v>62</v>
      </c>
      <c r="I76" s="706">
        <f t="shared" si="48"/>
        <v>46.2</v>
      </c>
      <c r="J76" s="541">
        <v>57</v>
      </c>
      <c r="K76" s="706">
        <f t="shared" si="49"/>
        <v>50.2</v>
      </c>
      <c r="L76" s="541">
        <v>57</v>
      </c>
      <c r="M76" s="706">
        <f t="shared" si="50"/>
        <v>55</v>
      </c>
      <c r="N76" s="541">
        <v>46</v>
      </c>
      <c r="O76" s="785">
        <f t="shared" si="51"/>
        <v>57.4</v>
      </c>
      <c r="P76" s="715">
        <v>28</v>
      </c>
      <c r="Q76" s="792">
        <f t="shared" si="52"/>
        <v>50</v>
      </c>
      <c r="R76" s="715">
        <v>8</v>
      </c>
      <c r="S76" s="792">
        <f t="shared" si="53"/>
        <v>39.200000000000003</v>
      </c>
      <c r="T76" s="715">
        <v>17</v>
      </c>
      <c r="U76" s="792">
        <f t="shared" si="54"/>
        <v>31.2</v>
      </c>
      <c r="V76" s="715">
        <v>17</v>
      </c>
      <c r="W76" s="792">
        <f t="shared" si="55"/>
        <v>23.2</v>
      </c>
      <c r="X76" s="715">
        <v>2</v>
      </c>
      <c r="Y76" s="792">
        <f t="shared" si="56"/>
        <v>14.4</v>
      </c>
      <c r="Z76" s="715">
        <v>1</v>
      </c>
      <c r="AA76" s="792">
        <f t="shared" si="57"/>
        <v>9</v>
      </c>
      <c r="AB76" s="715">
        <v>2</v>
      </c>
      <c r="AC76" s="792">
        <f t="shared" si="58"/>
        <v>7.8</v>
      </c>
      <c r="AD76" s="715">
        <v>0</v>
      </c>
      <c r="AE76" s="792">
        <f t="shared" si="59"/>
        <v>4.4000000000000004</v>
      </c>
    </row>
    <row r="77" spans="1:31" ht="18" customHeight="1" x14ac:dyDescent="0.3">
      <c r="A77" s="883" t="s">
        <v>486</v>
      </c>
      <c r="B77" s="833">
        <v>0</v>
      </c>
      <c r="C77" s="833">
        <v>0</v>
      </c>
      <c r="D77" s="833">
        <v>0</v>
      </c>
      <c r="E77" s="833">
        <v>0</v>
      </c>
      <c r="F77" s="833">
        <v>0</v>
      </c>
      <c r="G77" s="884">
        <f t="shared" si="47"/>
        <v>0</v>
      </c>
      <c r="H77" s="833">
        <v>0</v>
      </c>
      <c r="I77" s="884">
        <f t="shared" si="48"/>
        <v>0</v>
      </c>
      <c r="J77" s="833">
        <v>0</v>
      </c>
      <c r="K77" s="884">
        <f t="shared" si="49"/>
        <v>0</v>
      </c>
      <c r="L77" s="833">
        <v>0</v>
      </c>
      <c r="M77" s="884">
        <f t="shared" si="50"/>
        <v>0</v>
      </c>
      <c r="N77" s="833">
        <v>0</v>
      </c>
      <c r="O77" s="885">
        <f t="shared" si="51"/>
        <v>0</v>
      </c>
      <c r="P77" s="886">
        <v>0</v>
      </c>
      <c r="Q77" s="887">
        <f t="shared" si="52"/>
        <v>0</v>
      </c>
      <c r="R77" s="886">
        <v>0</v>
      </c>
      <c r="S77" s="887">
        <f t="shared" si="53"/>
        <v>0</v>
      </c>
      <c r="T77" s="886">
        <v>0</v>
      </c>
      <c r="U77" s="887">
        <f t="shared" si="54"/>
        <v>0</v>
      </c>
      <c r="V77" s="886">
        <v>0</v>
      </c>
      <c r="W77" s="887">
        <f t="shared" si="55"/>
        <v>0</v>
      </c>
      <c r="X77" s="886">
        <v>0</v>
      </c>
      <c r="Y77" s="887">
        <f t="shared" si="56"/>
        <v>0</v>
      </c>
      <c r="Z77" s="886">
        <v>0</v>
      </c>
      <c r="AA77" s="887">
        <f t="shared" si="57"/>
        <v>0</v>
      </c>
      <c r="AB77" s="886">
        <v>0</v>
      </c>
      <c r="AC77" s="887">
        <f t="shared" si="58"/>
        <v>0</v>
      </c>
      <c r="AD77" s="886">
        <v>0</v>
      </c>
      <c r="AE77" s="887">
        <f t="shared" si="59"/>
        <v>0</v>
      </c>
    </row>
    <row r="78" spans="1:31" ht="18" customHeight="1" x14ac:dyDescent="0.3">
      <c r="A78" s="883" t="s">
        <v>487</v>
      </c>
      <c r="B78" s="833">
        <v>0</v>
      </c>
      <c r="C78" s="833">
        <v>0</v>
      </c>
      <c r="D78" s="833">
        <v>0</v>
      </c>
      <c r="E78" s="833">
        <v>0</v>
      </c>
      <c r="F78" s="833">
        <v>0</v>
      </c>
      <c r="G78" s="884">
        <f t="shared" si="47"/>
        <v>0</v>
      </c>
      <c r="H78" s="833">
        <v>0</v>
      </c>
      <c r="I78" s="884">
        <f t="shared" si="48"/>
        <v>0</v>
      </c>
      <c r="J78" s="833">
        <v>0</v>
      </c>
      <c r="K78" s="884">
        <f t="shared" si="49"/>
        <v>0</v>
      </c>
      <c r="L78" s="833">
        <v>0</v>
      </c>
      <c r="M78" s="884">
        <f t="shared" si="50"/>
        <v>0</v>
      </c>
      <c r="N78" s="833">
        <v>0</v>
      </c>
      <c r="O78" s="885">
        <f t="shared" si="51"/>
        <v>0</v>
      </c>
      <c r="P78" s="886">
        <v>0</v>
      </c>
      <c r="Q78" s="887">
        <f t="shared" si="52"/>
        <v>0</v>
      </c>
      <c r="R78" s="886">
        <v>0</v>
      </c>
      <c r="S78" s="887">
        <f t="shared" si="53"/>
        <v>0</v>
      </c>
      <c r="T78" s="886">
        <v>0</v>
      </c>
      <c r="U78" s="887">
        <f t="shared" si="54"/>
        <v>0</v>
      </c>
      <c r="V78" s="886">
        <v>0</v>
      </c>
      <c r="W78" s="887">
        <f t="shared" si="55"/>
        <v>0</v>
      </c>
      <c r="X78" s="886">
        <v>0</v>
      </c>
      <c r="Y78" s="887">
        <f t="shared" si="56"/>
        <v>0</v>
      </c>
      <c r="Z78" s="886">
        <v>0</v>
      </c>
      <c r="AA78" s="887">
        <f t="shared" si="57"/>
        <v>0</v>
      </c>
      <c r="AB78" s="886">
        <v>0</v>
      </c>
      <c r="AC78" s="887">
        <f t="shared" si="58"/>
        <v>0</v>
      </c>
      <c r="AD78" s="886">
        <v>0</v>
      </c>
      <c r="AE78" s="887">
        <f t="shared" si="59"/>
        <v>0</v>
      </c>
    </row>
    <row r="79" spans="1:31" ht="18" customHeight="1" x14ac:dyDescent="0.3">
      <c r="A79" s="540" t="s">
        <v>818</v>
      </c>
      <c r="B79" s="833">
        <v>0</v>
      </c>
      <c r="C79" s="833">
        <v>0</v>
      </c>
      <c r="D79" s="833">
        <v>0</v>
      </c>
      <c r="E79" s="833">
        <v>0</v>
      </c>
      <c r="F79" s="833">
        <v>0</v>
      </c>
      <c r="G79" s="884">
        <f t="shared" si="47"/>
        <v>0</v>
      </c>
      <c r="H79" s="833">
        <v>0</v>
      </c>
      <c r="I79" s="884">
        <f t="shared" si="48"/>
        <v>0</v>
      </c>
      <c r="J79" s="833">
        <v>0</v>
      </c>
      <c r="K79" s="884">
        <f t="shared" si="49"/>
        <v>0</v>
      </c>
      <c r="L79" s="833">
        <v>0</v>
      </c>
      <c r="M79" s="884">
        <f t="shared" si="50"/>
        <v>0</v>
      </c>
      <c r="N79" s="833">
        <v>0</v>
      </c>
      <c r="O79" s="885">
        <f t="shared" si="51"/>
        <v>0</v>
      </c>
      <c r="P79" s="886">
        <v>0</v>
      </c>
      <c r="Q79" s="887">
        <f t="shared" si="52"/>
        <v>0</v>
      </c>
      <c r="R79" s="886">
        <v>0</v>
      </c>
      <c r="S79" s="887">
        <f t="shared" si="53"/>
        <v>0</v>
      </c>
      <c r="T79" s="886">
        <v>0</v>
      </c>
      <c r="U79" s="887">
        <f t="shared" si="54"/>
        <v>0</v>
      </c>
      <c r="V79" s="886">
        <v>7</v>
      </c>
      <c r="W79" s="887">
        <f t="shared" si="55"/>
        <v>1.4</v>
      </c>
      <c r="X79" s="886">
        <v>10</v>
      </c>
      <c r="Y79" s="887">
        <f t="shared" si="56"/>
        <v>3.4</v>
      </c>
      <c r="Z79" s="886">
        <v>8</v>
      </c>
      <c r="AA79" s="887">
        <f t="shared" si="57"/>
        <v>5</v>
      </c>
      <c r="AB79" s="886">
        <v>8</v>
      </c>
      <c r="AC79" s="887">
        <f t="shared" si="58"/>
        <v>6.6</v>
      </c>
      <c r="AD79" s="886">
        <v>1</v>
      </c>
      <c r="AE79" s="887">
        <f t="shared" si="59"/>
        <v>6.8</v>
      </c>
    </row>
    <row r="80" spans="1:31" ht="18" customHeight="1" x14ac:dyDescent="0.3">
      <c r="A80" s="540" t="s">
        <v>1526</v>
      </c>
      <c r="B80" s="833">
        <v>0</v>
      </c>
      <c r="C80" s="833">
        <v>0</v>
      </c>
      <c r="D80" s="833">
        <v>0</v>
      </c>
      <c r="E80" s="833">
        <v>0</v>
      </c>
      <c r="F80" s="833">
        <v>0</v>
      </c>
      <c r="G80" s="884">
        <f t="shared" si="47"/>
        <v>0</v>
      </c>
      <c r="H80" s="833">
        <v>0</v>
      </c>
      <c r="I80" s="884">
        <f t="shared" ref="I80:I84" si="60">(H80+F80+E80+D80+C80)/5</f>
        <v>0</v>
      </c>
      <c r="J80" s="833">
        <v>0</v>
      </c>
      <c r="K80" s="884">
        <f t="shared" ref="K80" si="61">(J80+H80+F80+E80+D80)/5</f>
        <v>0</v>
      </c>
      <c r="L80" s="833">
        <v>0</v>
      </c>
      <c r="M80" s="884">
        <f t="shared" ref="M80:M84" si="62">(L80+J80+H80+F80+E80)/5</f>
        <v>0</v>
      </c>
      <c r="N80" s="833">
        <v>0</v>
      </c>
      <c r="O80" s="885">
        <f t="shared" ref="O80:O84" si="63">(+N80+L80+J80+H80+F80)/5</f>
        <v>0</v>
      </c>
      <c r="P80" s="886">
        <v>0</v>
      </c>
      <c r="Q80" s="887">
        <f t="shared" ref="Q80:Q84" si="64">(P80+N80+L80+J80+H80)/5</f>
        <v>0</v>
      </c>
      <c r="R80" s="886">
        <v>0</v>
      </c>
      <c r="S80" s="887">
        <f t="shared" ref="S80:S84" si="65">(R80+P80+N80+L80+J80)/5</f>
        <v>0</v>
      </c>
      <c r="T80" s="886">
        <v>0</v>
      </c>
      <c r="U80" s="887">
        <f t="shared" ref="U80:U84" si="66">(T80+R80+P80+N80+L80)/5</f>
        <v>0</v>
      </c>
      <c r="V80" s="886">
        <v>0</v>
      </c>
      <c r="W80" s="887">
        <f t="shared" si="55"/>
        <v>0</v>
      </c>
      <c r="X80" s="886">
        <v>0</v>
      </c>
      <c r="Y80" s="887">
        <f t="shared" si="56"/>
        <v>0</v>
      </c>
      <c r="Z80" s="886">
        <v>0</v>
      </c>
      <c r="AA80" s="887">
        <f t="shared" si="57"/>
        <v>0</v>
      </c>
      <c r="AB80" s="886">
        <v>0</v>
      </c>
      <c r="AC80" s="887">
        <f t="shared" si="58"/>
        <v>0</v>
      </c>
      <c r="AD80" s="886">
        <v>7</v>
      </c>
      <c r="AE80" s="887">
        <f t="shared" si="59"/>
        <v>1.4</v>
      </c>
    </row>
    <row r="81" spans="1:31" ht="18" customHeight="1" x14ac:dyDescent="0.3">
      <c r="A81" s="540" t="s">
        <v>1527</v>
      </c>
      <c r="B81" s="833">
        <v>0</v>
      </c>
      <c r="C81" s="833">
        <v>0</v>
      </c>
      <c r="D81" s="833">
        <v>0</v>
      </c>
      <c r="E81" s="833">
        <v>0</v>
      </c>
      <c r="F81" s="833">
        <v>0</v>
      </c>
      <c r="G81" s="884">
        <f t="shared" si="47"/>
        <v>0</v>
      </c>
      <c r="H81" s="833">
        <v>0</v>
      </c>
      <c r="I81" s="884">
        <f t="shared" si="60"/>
        <v>0</v>
      </c>
      <c r="J81" s="833">
        <v>0</v>
      </c>
      <c r="K81" s="884">
        <f t="shared" ref="K81:K84" si="67">(J81+H81+F81+E81+D81)/5</f>
        <v>0</v>
      </c>
      <c r="L81" s="833">
        <v>0</v>
      </c>
      <c r="M81" s="884">
        <f t="shared" si="62"/>
        <v>0</v>
      </c>
      <c r="N81" s="833">
        <v>0</v>
      </c>
      <c r="O81" s="885">
        <f t="shared" si="63"/>
        <v>0</v>
      </c>
      <c r="P81" s="886">
        <v>0</v>
      </c>
      <c r="Q81" s="887">
        <f t="shared" si="64"/>
        <v>0</v>
      </c>
      <c r="R81" s="886">
        <v>0</v>
      </c>
      <c r="S81" s="887">
        <f t="shared" si="65"/>
        <v>0</v>
      </c>
      <c r="T81" s="886">
        <v>0</v>
      </c>
      <c r="U81" s="887">
        <f t="shared" si="66"/>
        <v>0</v>
      </c>
      <c r="V81" s="886">
        <v>0</v>
      </c>
      <c r="W81" s="887">
        <f t="shared" ref="W81:W84" si="68">(V81+T81+R81+P81+N81)/5</f>
        <v>0</v>
      </c>
      <c r="X81" s="886">
        <v>0</v>
      </c>
      <c r="Y81" s="887">
        <f t="shared" ref="Y81:Y84" si="69">(X81+V81+T81+R81+P81)/5</f>
        <v>0</v>
      </c>
      <c r="Z81" s="886">
        <v>0</v>
      </c>
      <c r="AA81" s="887">
        <f t="shared" ref="AA81:AA84" si="70">(Z81+X81+V81+T81+R81)/5</f>
        <v>0</v>
      </c>
      <c r="AB81" s="886">
        <v>0</v>
      </c>
      <c r="AC81" s="887">
        <f t="shared" ref="AC81:AC84" si="71">(AB81+Z81+X81+V81+T81)/5</f>
        <v>0</v>
      </c>
      <c r="AD81" s="886">
        <v>9</v>
      </c>
      <c r="AE81" s="887">
        <f t="shared" si="59"/>
        <v>1.8</v>
      </c>
    </row>
    <row r="82" spans="1:31" ht="18" customHeight="1" x14ac:dyDescent="0.3">
      <c r="A82" s="541" t="s">
        <v>1528</v>
      </c>
      <c r="B82" s="833">
        <v>0</v>
      </c>
      <c r="C82" s="833">
        <v>0</v>
      </c>
      <c r="D82" s="833">
        <v>0</v>
      </c>
      <c r="E82" s="833">
        <v>0</v>
      </c>
      <c r="F82" s="833">
        <v>0</v>
      </c>
      <c r="G82" s="884">
        <f t="shared" si="47"/>
        <v>0</v>
      </c>
      <c r="H82" s="833">
        <v>0</v>
      </c>
      <c r="I82" s="884">
        <f t="shared" si="60"/>
        <v>0</v>
      </c>
      <c r="J82" s="833">
        <v>0</v>
      </c>
      <c r="K82" s="884">
        <f t="shared" si="67"/>
        <v>0</v>
      </c>
      <c r="L82" s="833">
        <v>0</v>
      </c>
      <c r="M82" s="884">
        <f t="shared" si="62"/>
        <v>0</v>
      </c>
      <c r="N82" s="833">
        <v>0</v>
      </c>
      <c r="O82" s="885">
        <f t="shared" si="63"/>
        <v>0</v>
      </c>
      <c r="P82" s="886">
        <v>0</v>
      </c>
      <c r="Q82" s="887">
        <f t="shared" si="64"/>
        <v>0</v>
      </c>
      <c r="R82" s="886">
        <v>0</v>
      </c>
      <c r="S82" s="887">
        <f t="shared" si="65"/>
        <v>0</v>
      </c>
      <c r="T82" s="886">
        <v>0</v>
      </c>
      <c r="U82" s="887">
        <f t="shared" si="66"/>
        <v>0</v>
      </c>
      <c r="V82" s="886">
        <v>0</v>
      </c>
      <c r="W82" s="887">
        <f t="shared" si="68"/>
        <v>0</v>
      </c>
      <c r="X82" s="886">
        <v>0</v>
      </c>
      <c r="Y82" s="887">
        <f t="shared" si="69"/>
        <v>0</v>
      </c>
      <c r="Z82" s="886">
        <v>0</v>
      </c>
      <c r="AA82" s="887">
        <f t="shared" si="70"/>
        <v>0</v>
      </c>
      <c r="AB82" s="886">
        <v>0</v>
      </c>
      <c r="AC82" s="887">
        <f t="shared" si="71"/>
        <v>0</v>
      </c>
      <c r="AD82" s="886">
        <v>6</v>
      </c>
      <c r="AE82" s="887">
        <f t="shared" si="59"/>
        <v>1.2</v>
      </c>
    </row>
    <row r="83" spans="1:31" ht="18" customHeight="1" x14ac:dyDescent="0.3">
      <c r="A83" s="541" t="s">
        <v>1529</v>
      </c>
      <c r="B83" s="833"/>
      <c r="C83" s="833">
        <v>0</v>
      </c>
      <c r="D83" s="833">
        <v>0</v>
      </c>
      <c r="E83" s="833">
        <v>0</v>
      </c>
      <c r="F83" s="833">
        <v>0</v>
      </c>
      <c r="G83" s="884">
        <f t="shared" si="47"/>
        <v>0</v>
      </c>
      <c r="H83" s="833">
        <v>0</v>
      </c>
      <c r="I83" s="884">
        <f t="shared" si="60"/>
        <v>0</v>
      </c>
      <c r="J83" s="833">
        <v>0</v>
      </c>
      <c r="K83" s="884">
        <f t="shared" si="67"/>
        <v>0</v>
      </c>
      <c r="L83" s="833">
        <v>0</v>
      </c>
      <c r="M83" s="884">
        <f t="shared" si="62"/>
        <v>0</v>
      </c>
      <c r="N83" s="833">
        <v>0</v>
      </c>
      <c r="O83" s="885">
        <f t="shared" si="63"/>
        <v>0</v>
      </c>
      <c r="P83" s="886">
        <v>0</v>
      </c>
      <c r="Q83" s="887">
        <f t="shared" si="64"/>
        <v>0</v>
      </c>
      <c r="R83" s="886">
        <v>0</v>
      </c>
      <c r="S83" s="887">
        <f t="shared" si="65"/>
        <v>0</v>
      </c>
      <c r="T83" s="886">
        <v>0</v>
      </c>
      <c r="U83" s="887">
        <f t="shared" si="66"/>
        <v>0</v>
      </c>
      <c r="V83" s="886">
        <v>0</v>
      </c>
      <c r="W83" s="887">
        <f t="shared" si="68"/>
        <v>0</v>
      </c>
      <c r="X83" s="886">
        <v>0</v>
      </c>
      <c r="Y83" s="887">
        <f t="shared" si="69"/>
        <v>0</v>
      </c>
      <c r="Z83" s="886">
        <v>0</v>
      </c>
      <c r="AA83" s="887">
        <f t="shared" si="70"/>
        <v>0</v>
      </c>
      <c r="AB83" s="886">
        <v>0</v>
      </c>
      <c r="AC83" s="887">
        <f t="shared" si="71"/>
        <v>0</v>
      </c>
      <c r="AD83" s="886">
        <v>2</v>
      </c>
      <c r="AE83" s="887">
        <f t="shared" si="59"/>
        <v>0.4</v>
      </c>
    </row>
    <row r="84" spans="1:31" ht="18" customHeight="1" x14ac:dyDescent="0.3">
      <c r="A84" s="541" t="s">
        <v>1530</v>
      </c>
      <c r="B84" s="833">
        <v>0</v>
      </c>
      <c r="C84" s="833">
        <v>0</v>
      </c>
      <c r="D84" s="833">
        <v>0</v>
      </c>
      <c r="E84" s="833">
        <v>0</v>
      </c>
      <c r="F84" s="833">
        <v>0</v>
      </c>
      <c r="G84" s="884">
        <f t="shared" si="47"/>
        <v>0</v>
      </c>
      <c r="H84" s="833">
        <v>0</v>
      </c>
      <c r="I84" s="884">
        <f t="shared" si="60"/>
        <v>0</v>
      </c>
      <c r="J84" s="833">
        <v>0</v>
      </c>
      <c r="K84" s="884">
        <f t="shared" si="67"/>
        <v>0</v>
      </c>
      <c r="L84" s="833">
        <v>0</v>
      </c>
      <c r="M84" s="884">
        <f t="shared" si="62"/>
        <v>0</v>
      </c>
      <c r="N84" s="833">
        <v>0</v>
      </c>
      <c r="O84" s="885">
        <f t="shared" si="63"/>
        <v>0</v>
      </c>
      <c r="P84" s="886">
        <v>0</v>
      </c>
      <c r="Q84" s="887">
        <f t="shared" si="64"/>
        <v>0</v>
      </c>
      <c r="R84" s="886">
        <v>0</v>
      </c>
      <c r="S84" s="887">
        <f t="shared" si="65"/>
        <v>0</v>
      </c>
      <c r="T84" s="886">
        <v>0</v>
      </c>
      <c r="U84" s="887">
        <f t="shared" si="66"/>
        <v>0</v>
      </c>
      <c r="V84" s="886">
        <v>0</v>
      </c>
      <c r="W84" s="887">
        <f t="shared" si="68"/>
        <v>0</v>
      </c>
      <c r="X84" s="886">
        <v>0</v>
      </c>
      <c r="Y84" s="887">
        <f t="shared" si="69"/>
        <v>0</v>
      </c>
      <c r="Z84" s="886">
        <v>0</v>
      </c>
      <c r="AA84" s="887">
        <f t="shared" si="70"/>
        <v>0</v>
      </c>
      <c r="AB84" s="886">
        <v>0</v>
      </c>
      <c r="AC84" s="887">
        <f t="shared" si="71"/>
        <v>0</v>
      </c>
      <c r="AD84" s="886">
        <v>6</v>
      </c>
      <c r="AE84" s="887">
        <f t="shared" si="59"/>
        <v>1.2</v>
      </c>
    </row>
    <row r="85" spans="1:31" ht="18" customHeight="1" x14ac:dyDescent="0.3">
      <c r="A85" s="678" t="s">
        <v>867</v>
      </c>
      <c r="B85" s="541">
        <v>0</v>
      </c>
      <c r="C85" s="541">
        <v>0</v>
      </c>
      <c r="D85" s="541">
        <v>0</v>
      </c>
      <c r="E85" s="541">
        <v>0</v>
      </c>
      <c r="F85" s="541">
        <v>0</v>
      </c>
      <c r="G85" s="706">
        <f t="shared" si="47"/>
        <v>0</v>
      </c>
      <c r="H85" s="541">
        <v>0</v>
      </c>
      <c r="I85" s="706">
        <f t="shared" si="48"/>
        <v>0</v>
      </c>
      <c r="J85" s="541">
        <v>0</v>
      </c>
      <c r="K85" s="706">
        <f t="shared" si="49"/>
        <v>0</v>
      </c>
      <c r="L85" s="541">
        <v>0</v>
      </c>
      <c r="M85" s="706">
        <f t="shared" si="50"/>
        <v>0</v>
      </c>
      <c r="N85" s="541">
        <v>47</v>
      </c>
      <c r="O85" s="785">
        <f t="shared" si="51"/>
        <v>9.4</v>
      </c>
      <c r="P85" s="715">
        <v>0</v>
      </c>
      <c r="Q85" s="792">
        <f t="shared" si="52"/>
        <v>9.4</v>
      </c>
      <c r="R85" s="715">
        <v>0</v>
      </c>
      <c r="S85" s="792">
        <f t="shared" si="53"/>
        <v>9.4</v>
      </c>
      <c r="T85" s="715">
        <v>0</v>
      </c>
      <c r="U85" s="792">
        <f>(T85+R85+P85+N85+L85)/5</f>
        <v>9.4</v>
      </c>
      <c r="V85" s="715">
        <v>0</v>
      </c>
      <c r="W85" s="792">
        <f>(V85+T85+R85+P85+N85)/5</f>
        <v>9.4</v>
      </c>
      <c r="X85" s="715">
        <v>0</v>
      </c>
      <c r="Y85" s="792">
        <f>(X85+V85+T85+R85+P85)/5</f>
        <v>0</v>
      </c>
      <c r="Z85" s="715">
        <v>0</v>
      </c>
      <c r="AA85" s="792">
        <f>(Z85+X85+V85+T85+R85)/5</f>
        <v>0</v>
      </c>
      <c r="AB85" s="715">
        <v>0</v>
      </c>
      <c r="AC85" s="792">
        <f>(AB85+Z85+X85+V85+T85)/5</f>
        <v>0</v>
      </c>
      <c r="AD85" s="715">
        <v>0</v>
      </c>
      <c r="AE85" s="792">
        <f>(AD85+AB85+Z85+X85+V85)/5</f>
        <v>0</v>
      </c>
    </row>
    <row r="86" spans="1:31" ht="18" customHeight="1" x14ac:dyDescent="0.3">
      <c r="A86" s="678" t="s">
        <v>1117</v>
      </c>
      <c r="B86" s="541">
        <v>77</v>
      </c>
      <c r="C86" s="541">
        <v>72</v>
      </c>
      <c r="D86" s="541">
        <v>41</v>
      </c>
      <c r="E86" s="541">
        <v>36</v>
      </c>
      <c r="F86" s="541">
        <v>25</v>
      </c>
      <c r="G86" s="706">
        <f t="shared" si="47"/>
        <v>50.2</v>
      </c>
      <c r="H86" s="541">
        <v>32</v>
      </c>
      <c r="I86" s="706">
        <f t="shared" si="48"/>
        <v>41.2</v>
      </c>
      <c r="J86" s="541">
        <v>41</v>
      </c>
      <c r="K86" s="706">
        <f t="shared" si="49"/>
        <v>35</v>
      </c>
      <c r="L86" s="541">
        <v>44</v>
      </c>
      <c r="M86" s="706">
        <f t="shared" si="50"/>
        <v>35.6</v>
      </c>
      <c r="N86" s="541">
        <v>42</v>
      </c>
      <c r="O86" s="785">
        <f t="shared" si="51"/>
        <v>36.799999999999997</v>
      </c>
      <c r="P86" s="715">
        <v>38</v>
      </c>
      <c r="Q86" s="792">
        <f t="shared" si="52"/>
        <v>39.4</v>
      </c>
      <c r="R86" s="715">
        <v>41</v>
      </c>
      <c r="S86" s="792">
        <f t="shared" si="53"/>
        <v>41.2</v>
      </c>
      <c r="T86" s="715">
        <v>45</v>
      </c>
      <c r="U86" s="792">
        <f>(T86+R86+P86+N86+L86)/5</f>
        <v>42</v>
      </c>
      <c r="V86" s="715">
        <v>48</v>
      </c>
      <c r="W86" s="792">
        <f>(V86+T86+R86+P86+N86)/5</f>
        <v>42.8</v>
      </c>
      <c r="X86" s="715">
        <v>45</v>
      </c>
      <c r="Y86" s="792">
        <f>(X86+V86+T86+R86+P86)/5</f>
        <v>43.4</v>
      </c>
      <c r="Z86" s="715">
        <v>52</v>
      </c>
      <c r="AA86" s="792">
        <f>(Z86+X86+V86+T86+R86)/5</f>
        <v>46.2</v>
      </c>
      <c r="AB86" s="715">
        <v>64</v>
      </c>
      <c r="AC86" s="792">
        <f>(AB86+Z86+X86+V86+T86)/5</f>
        <v>50.8</v>
      </c>
      <c r="AD86" s="715">
        <v>62</v>
      </c>
      <c r="AE86" s="792">
        <f>(AD86+AB86+Z86+X86+V86)/5</f>
        <v>54.2</v>
      </c>
    </row>
    <row r="87" spans="1:31" ht="18" customHeight="1" x14ac:dyDescent="0.3">
      <c r="A87" s="678" t="s">
        <v>1118</v>
      </c>
      <c r="B87" s="541">
        <v>137</v>
      </c>
      <c r="C87" s="541">
        <v>159</v>
      </c>
      <c r="D87" s="541">
        <v>119</v>
      </c>
      <c r="E87" s="541">
        <v>372</v>
      </c>
      <c r="F87" s="541">
        <v>434</v>
      </c>
      <c r="G87" s="706">
        <f t="shared" si="47"/>
        <v>244.2</v>
      </c>
      <c r="H87" s="541">
        <f>141-2</f>
        <v>139</v>
      </c>
      <c r="I87" s="706">
        <f t="shared" si="48"/>
        <v>244.6</v>
      </c>
      <c r="J87" s="541">
        <v>265</v>
      </c>
      <c r="K87" s="706">
        <f t="shared" si="49"/>
        <v>265.8</v>
      </c>
      <c r="L87" s="541">
        <f>255-5</f>
        <v>250</v>
      </c>
      <c r="M87" s="706">
        <f t="shared" si="50"/>
        <v>292</v>
      </c>
      <c r="N87" s="541">
        <v>132</v>
      </c>
      <c r="O87" s="785">
        <f t="shared" si="51"/>
        <v>244</v>
      </c>
      <c r="P87" s="715">
        <v>57</v>
      </c>
      <c r="Q87" s="792">
        <f t="shared" si="52"/>
        <v>168.6</v>
      </c>
      <c r="R87" s="715">
        <v>21</v>
      </c>
      <c r="S87" s="792">
        <f t="shared" si="53"/>
        <v>145</v>
      </c>
      <c r="T87" s="715">
        <v>21</v>
      </c>
      <c r="U87" s="792">
        <f>(T87+R87+P87+N87+L87)/5</f>
        <v>96.2</v>
      </c>
      <c r="V87" s="715">
        <v>33</v>
      </c>
      <c r="W87" s="792">
        <f>(V87+T87+R87+P87+N87)/5</f>
        <v>52.8</v>
      </c>
      <c r="X87" s="715">
        <v>32</v>
      </c>
      <c r="Y87" s="792">
        <f>(X87+V87+T87+R87+P87)/5</f>
        <v>32.799999999999997</v>
      </c>
      <c r="Z87" s="715">
        <v>42</v>
      </c>
      <c r="AA87" s="792">
        <f>(Z87+X87+V87+T87+R87)/5</f>
        <v>29.8</v>
      </c>
      <c r="AB87" s="715">
        <v>16</v>
      </c>
      <c r="AC87" s="792">
        <f>(AB87+Z87+X87+V87+T87)/5</f>
        <v>28.8</v>
      </c>
      <c r="AD87" s="715">
        <v>42</v>
      </c>
      <c r="AE87" s="792">
        <f>(AD87+AB87+Z87+X87+V87)/5</f>
        <v>33</v>
      </c>
    </row>
    <row r="88" spans="1:31" ht="18" customHeight="1" x14ac:dyDescent="0.3">
      <c r="A88" s="679" t="s">
        <v>961</v>
      </c>
      <c r="B88" s="541">
        <f>SUM(B70:B87)</f>
        <v>561</v>
      </c>
      <c r="C88" s="541">
        <f>SUM(C70:C87)</f>
        <v>570</v>
      </c>
      <c r="D88" s="541">
        <f>SUM(D70:D87)</f>
        <v>462</v>
      </c>
      <c r="E88" s="541">
        <f>SUM(E70:E87)</f>
        <v>693</v>
      </c>
      <c r="F88" s="541">
        <f>SUM(F70:F87)</f>
        <v>792</v>
      </c>
      <c r="G88" s="706">
        <f t="shared" si="47"/>
        <v>615.6</v>
      </c>
      <c r="H88" s="541">
        <f>SUM(H70:H87)</f>
        <v>558</v>
      </c>
      <c r="I88" s="706">
        <f t="shared" si="48"/>
        <v>615</v>
      </c>
      <c r="J88" s="541">
        <f>SUM(J70:J87)</f>
        <v>712</v>
      </c>
      <c r="K88" s="706">
        <f t="shared" si="49"/>
        <v>643.4</v>
      </c>
      <c r="L88" s="541">
        <f>SUM(L70:L87)</f>
        <v>693</v>
      </c>
      <c r="M88" s="706">
        <f t="shared" si="50"/>
        <v>689.6</v>
      </c>
      <c r="N88" s="541">
        <f>SUM(N70:N87)</f>
        <v>557</v>
      </c>
      <c r="O88" s="785">
        <f t="shared" si="51"/>
        <v>662.4</v>
      </c>
      <c r="P88" s="715">
        <f>SUM(P70:P87)</f>
        <v>457</v>
      </c>
      <c r="Q88" s="792">
        <f t="shared" si="52"/>
        <v>595.4</v>
      </c>
      <c r="R88" s="715">
        <f>SUM(R70:R87)</f>
        <v>386</v>
      </c>
      <c r="S88" s="792">
        <f t="shared" si="53"/>
        <v>561</v>
      </c>
      <c r="T88" s="715">
        <f>SUM(T70:T87)</f>
        <v>381</v>
      </c>
      <c r="U88" s="792">
        <f>(T88+R88+P88+N88+L88)/5</f>
        <v>494.8</v>
      </c>
      <c r="V88" s="715">
        <f>SUM(V70:V87)</f>
        <v>412</v>
      </c>
      <c r="W88" s="792">
        <f>(V88+T88+R88+P88+N88)/5</f>
        <v>438.6</v>
      </c>
      <c r="X88" s="715">
        <f>SUM(X70:X87)</f>
        <v>441</v>
      </c>
      <c r="Y88" s="792">
        <f>(X88+V88+T88+R88+P88)/5</f>
        <v>415.4</v>
      </c>
      <c r="Z88" s="715">
        <f>SUM(Z70:Z87)</f>
        <v>413</v>
      </c>
      <c r="AA88" s="792">
        <f>(Z88+X88+V88+T88+R88)/5</f>
        <v>406.6</v>
      </c>
      <c r="AB88" s="715">
        <f>SUM(AB70:AB87)</f>
        <v>369</v>
      </c>
      <c r="AC88" s="792">
        <f>(AB88+Z88+X88+V88+T88)/5</f>
        <v>403.2</v>
      </c>
      <c r="AD88" s="715">
        <f>SUM(AD70:AD87)</f>
        <v>398</v>
      </c>
      <c r="AE88" s="792">
        <f>(AD88+AB88+Z88+X88+V88)/5</f>
        <v>406.6</v>
      </c>
    </row>
    <row r="89" spans="1:31" ht="18" customHeight="1" x14ac:dyDescent="0.3">
      <c r="A89" s="677" t="s">
        <v>416</v>
      </c>
      <c r="B89" s="704"/>
      <c r="C89" s="704"/>
      <c r="D89" s="704"/>
      <c r="E89" s="704"/>
      <c r="F89" s="537"/>
      <c r="G89" s="708"/>
      <c r="H89" s="537"/>
      <c r="I89" s="708"/>
      <c r="J89" s="537"/>
      <c r="K89" s="708"/>
      <c r="L89" s="537"/>
      <c r="M89" s="705"/>
      <c r="N89" s="537"/>
      <c r="O89" s="786"/>
      <c r="P89" s="552"/>
      <c r="Q89" s="552"/>
      <c r="R89" s="552"/>
      <c r="S89" s="552"/>
      <c r="T89" s="552"/>
      <c r="U89" s="552"/>
      <c r="V89" s="552"/>
      <c r="W89" s="552"/>
      <c r="X89" s="552"/>
      <c r="Y89" s="552"/>
      <c r="Z89" s="552"/>
      <c r="AA89" s="552"/>
      <c r="AB89" s="552"/>
      <c r="AC89" s="552"/>
      <c r="AD89" s="552"/>
      <c r="AE89" s="552"/>
    </row>
    <row r="90" spans="1:31" ht="18" customHeight="1" x14ac:dyDescent="0.3">
      <c r="A90" s="678" t="s">
        <v>579</v>
      </c>
      <c r="B90" s="541">
        <v>0</v>
      </c>
      <c r="C90" s="541">
        <v>0</v>
      </c>
      <c r="D90" s="541">
        <v>0</v>
      </c>
      <c r="E90" s="541">
        <v>0</v>
      </c>
      <c r="F90" s="541">
        <v>3</v>
      </c>
      <c r="G90" s="706">
        <f t="shared" ref="G90:G97" si="72">AVERAGE(B90:F90)</f>
        <v>0.6</v>
      </c>
      <c r="H90" s="541">
        <v>9</v>
      </c>
      <c r="I90" s="706">
        <f t="shared" ref="I90:I97" si="73">(H90+F90+E90+D90+C90)/5</f>
        <v>2.4</v>
      </c>
      <c r="J90" s="541">
        <v>19</v>
      </c>
      <c r="K90" s="706">
        <f t="shared" ref="K90:K97" si="74">(J90+H90+F90+E90+D90)/5</f>
        <v>6.2</v>
      </c>
      <c r="L90" s="541">
        <v>8</v>
      </c>
      <c r="M90" s="706">
        <f t="shared" ref="M90:M97" si="75">(L90+J90+H90+F90+E90)/5</f>
        <v>7.8</v>
      </c>
      <c r="N90" s="541">
        <v>6</v>
      </c>
      <c r="O90" s="785">
        <f t="shared" ref="O90:O97" si="76">(+N90+L90+J90+H90+F90)/5</f>
        <v>9</v>
      </c>
      <c r="P90" s="715">
        <v>26</v>
      </c>
      <c r="Q90" s="792">
        <f t="shared" ref="Q90:Q97" si="77">(P90+N90+L90+J90+H90)/5</f>
        <v>13.6</v>
      </c>
      <c r="R90" s="715">
        <v>43</v>
      </c>
      <c r="S90" s="792">
        <f t="shared" ref="S90:S97" si="78">(R90+P90+N90+L90+J90)/5</f>
        <v>20.399999999999999</v>
      </c>
      <c r="T90" s="715">
        <v>40</v>
      </c>
      <c r="U90" s="792">
        <f t="shared" ref="U90:U97" si="79">(T90+R90+P90+N90+L90)/5</f>
        <v>24.6</v>
      </c>
      <c r="V90" s="715">
        <v>42</v>
      </c>
      <c r="W90" s="792">
        <f t="shared" ref="W90:W97" si="80">(V90+T90+R90+P90+N90)/5</f>
        <v>31.4</v>
      </c>
      <c r="X90" s="715">
        <v>46</v>
      </c>
      <c r="Y90" s="792">
        <f t="shared" ref="Y90:Y97" si="81">(X90+V90+T90+R90+P90)/5</f>
        <v>39.4</v>
      </c>
      <c r="Z90" s="715">
        <v>49</v>
      </c>
      <c r="AA90" s="792">
        <f t="shared" ref="AA90:AA97" si="82">(Z90+X90+V90+T90+R90)/5</f>
        <v>44</v>
      </c>
      <c r="AB90" s="715">
        <v>53</v>
      </c>
      <c r="AC90" s="792">
        <f t="shared" ref="AC90:AC97" si="83">(AB90+Z90+X90+V90+T90)/5</f>
        <v>46</v>
      </c>
      <c r="AD90" s="715">
        <v>46</v>
      </c>
      <c r="AE90" s="792">
        <f t="shared" ref="AE90:AE97" si="84">(AD90+AB90+Z90+X90+V90)/5</f>
        <v>47.2</v>
      </c>
    </row>
    <row r="91" spans="1:31" ht="18" customHeight="1" x14ac:dyDescent="0.3">
      <c r="A91" s="678" t="s">
        <v>1144</v>
      </c>
      <c r="B91" s="541">
        <v>0</v>
      </c>
      <c r="C91" s="541">
        <v>0</v>
      </c>
      <c r="D91" s="541">
        <v>0</v>
      </c>
      <c r="E91" s="541">
        <v>0</v>
      </c>
      <c r="F91" s="541">
        <f>3+3+5+2</f>
        <v>13</v>
      </c>
      <c r="G91" s="706">
        <f t="shared" si="72"/>
        <v>2.6</v>
      </c>
      <c r="H91" s="541">
        <v>33</v>
      </c>
      <c r="I91" s="706">
        <f t="shared" si="73"/>
        <v>9.1999999999999993</v>
      </c>
      <c r="J91" s="541">
        <v>86</v>
      </c>
      <c r="K91" s="706">
        <f t="shared" si="74"/>
        <v>26.4</v>
      </c>
      <c r="L91" s="541">
        <v>72</v>
      </c>
      <c r="M91" s="706">
        <f t="shared" si="75"/>
        <v>40.799999999999997</v>
      </c>
      <c r="N91" s="541">
        <v>71</v>
      </c>
      <c r="O91" s="785">
        <f t="shared" si="76"/>
        <v>55</v>
      </c>
      <c r="P91" s="715">
        <v>97</v>
      </c>
      <c r="Q91" s="792">
        <f t="shared" si="77"/>
        <v>71.8</v>
      </c>
      <c r="R91" s="715">
        <v>114</v>
      </c>
      <c r="S91" s="792">
        <f t="shared" si="78"/>
        <v>88</v>
      </c>
      <c r="T91" s="715">
        <v>102</v>
      </c>
      <c r="U91" s="792">
        <f t="shared" si="79"/>
        <v>91.2</v>
      </c>
      <c r="V91" s="715">
        <v>127</v>
      </c>
      <c r="W91" s="792">
        <f t="shared" si="80"/>
        <v>102.2</v>
      </c>
      <c r="X91" s="715">
        <v>143</v>
      </c>
      <c r="Y91" s="792">
        <f t="shared" si="81"/>
        <v>116.6</v>
      </c>
      <c r="Z91" s="715">
        <v>192</v>
      </c>
      <c r="AA91" s="792">
        <f t="shared" si="82"/>
        <v>135.6</v>
      </c>
      <c r="AB91" s="715">
        <v>182</v>
      </c>
      <c r="AC91" s="792">
        <f t="shared" si="83"/>
        <v>149.19999999999999</v>
      </c>
      <c r="AD91" s="715">
        <v>198</v>
      </c>
      <c r="AE91" s="792">
        <f t="shared" si="84"/>
        <v>168.4</v>
      </c>
    </row>
    <row r="92" spans="1:31" ht="18" customHeight="1" x14ac:dyDescent="0.3">
      <c r="A92" s="678" t="s">
        <v>1145</v>
      </c>
      <c r="B92" s="541">
        <v>0</v>
      </c>
      <c r="C92" s="541">
        <v>0</v>
      </c>
      <c r="D92" s="541">
        <v>2</v>
      </c>
      <c r="E92" s="541">
        <v>3</v>
      </c>
      <c r="F92" s="541">
        <v>4</v>
      </c>
      <c r="G92" s="706">
        <f t="shared" si="72"/>
        <v>1.8</v>
      </c>
      <c r="H92" s="541">
        <v>1</v>
      </c>
      <c r="I92" s="706">
        <f t="shared" si="73"/>
        <v>2</v>
      </c>
      <c r="J92" s="541">
        <v>0</v>
      </c>
      <c r="K92" s="706">
        <f t="shared" si="74"/>
        <v>2</v>
      </c>
      <c r="L92" s="541">
        <v>0</v>
      </c>
      <c r="M92" s="706">
        <f t="shared" si="75"/>
        <v>1.6</v>
      </c>
      <c r="N92" s="541">
        <v>0</v>
      </c>
      <c r="O92" s="785">
        <f t="shared" si="76"/>
        <v>1</v>
      </c>
      <c r="P92" s="715">
        <v>0</v>
      </c>
      <c r="Q92" s="792">
        <f t="shared" si="77"/>
        <v>0.2</v>
      </c>
      <c r="R92" s="715">
        <v>0</v>
      </c>
      <c r="S92" s="792">
        <f t="shared" si="78"/>
        <v>0</v>
      </c>
      <c r="T92" s="715">
        <v>0</v>
      </c>
      <c r="U92" s="792">
        <f t="shared" si="79"/>
        <v>0</v>
      </c>
      <c r="V92" s="715">
        <v>0</v>
      </c>
      <c r="W92" s="792">
        <f t="shared" si="80"/>
        <v>0</v>
      </c>
      <c r="X92" s="715">
        <v>0</v>
      </c>
      <c r="Y92" s="792">
        <f t="shared" si="81"/>
        <v>0</v>
      </c>
      <c r="Z92" s="715">
        <v>0</v>
      </c>
      <c r="AA92" s="792">
        <f t="shared" si="82"/>
        <v>0</v>
      </c>
      <c r="AB92" s="715">
        <v>0</v>
      </c>
      <c r="AC92" s="792">
        <f t="shared" si="83"/>
        <v>0</v>
      </c>
      <c r="AD92" s="715">
        <v>0</v>
      </c>
      <c r="AE92" s="792">
        <f t="shared" si="84"/>
        <v>0</v>
      </c>
    </row>
    <row r="93" spans="1:31" ht="18" customHeight="1" x14ac:dyDescent="0.3">
      <c r="A93" s="678" t="s">
        <v>1095</v>
      </c>
      <c r="B93" s="541">
        <v>10</v>
      </c>
      <c r="C93" s="541">
        <v>29</v>
      </c>
      <c r="D93" s="541">
        <v>25</v>
      </c>
      <c r="E93" s="541">
        <v>26</v>
      </c>
      <c r="F93" s="541">
        <f>31-3</f>
        <v>28</v>
      </c>
      <c r="G93" s="706">
        <f t="shared" si="72"/>
        <v>23.6</v>
      </c>
      <c r="H93" s="541">
        <v>16</v>
      </c>
      <c r="I93" s="706">
        <f t="shared" si="73"/>
        <v>24.8</v>
      </c>
      <c r="J93" s="541">
        <v>0</v>
      </c>
      <c r="K93" s="706">
        <f t="shared" si="74"/>
        <v>19</v>
      </c>
      <c r="L93" s="541">
        <v>0</v>
      </c>
      <c r="M93" s="706">
        <f t="shared" si="75"/>
        <v>14</v>
      </c>
      <c r="N93" s="541">
        <v>0</v>
      </c>
      <c r="O93" s="785">
        <f t="shared" si="76"/>
        <v>8.8000000000000007</v>
      </c>
      <c r="P93" s="715">
        <v>1</v>
      </c>
      <c r="Q93" s="792">
        <f t="shared" si="77"/>
        <v>3.4</v>
      </c>
      <c r="R93" s="715">
        <v>0</v>
      </c>
      <c r="S93" s="792">
        <f t="shared" si="78"/>
        <v>0.2</v>
      </c>
      <c r="T93" s="715">
        <v>0</v>
      </c>
      <c r="U93" s="792">
        <f t="shared" si="79"/>
        <v>0.2</v>
      </c>
      <c r="V93" s="715">
        <v>0</v>
      </c>
      <c r="W93" s="792">
        <f t="shared" si="80"/>
        <v>0.2</v>
      </c>
      <c r="X93" s="715">
        <v>0</v>
      </c>
      <c r="Y93" s="792">
        <f t="shared" si="81"/>
        <v>0.2</v>
      </c>
      <c r="Z93" s="715">
        <v>0</v>
      </c>
      <c r="AA93" s="792">
        <f t="shared" si="82"/>
        <v>0</v>
      </c>
      <c r="AB93" s="715">
        <v>0</v>
      </c>
      <c r="AC93" s="792">
        <f t="shared" si="83"/>
        <v>0</v>
      </c>
      <c r="AD93" s="715">
        <v>0</v>
      </c>
      <c r="AE93" s="792">
        <f t="shared" si="84"/>
        <v>0</v>
      </c>
    </row>
    <row r="94" spans="1:31" ht="18" customHeight="1" x14ac:dyDescent="0.3">
      <c r="A94" s="678" t="s">
        <v>1096</v>
      </c>
      <c r="B94" s="541">
        <v>83</v>
      </c>
      <c r="C94" s="541">
        <v>69</v>
      </c>
      <c r="D94" s="541">
        <v>72</v>
      </c>
      <c r="E94" s="541">
        <v>69</v>
      </c>
      <c r="F94" s="541">
        <v>57</v>
      </c>
      <c r="G94" s="706">
        <f t="shared" si="72"/>
        <v>70</v>
      </c>
      <c r="H94" s="541">
        <v>44</v>
      </c>
      <c r="I94" s="706">
        <f t="shared" si="73"/>
        <v>62.2</v>
      </c>
      <c r="J94" s="541">
        <v>2</v>
      </c>
      <c r="K94" s="706">
        <f t="shared" si="74"/>
        <v>48.8</v>
      </c>
      <c r="L94" s="541">
        <v>0</v>
      </c>
      <c r="M94" s="706">
        <f t="shared" si="75"/>
        <v>34.4</v>
      </c>
      <c r="N94" s="541">
        <v>1</v>
      </c>
      <c r="O94" s="785">
        <f t="shared" si="76"/>
        <v>20.8</v>
      </c>
      <c r="P94" s="715">
        <v>0</v>
      </c>
      <c r="Q94" s="792">
        <f t="shared" si="77"/>
        <v>9.4</v>
      </c>
      <c r="R94" s="715">
        <v>0</v>
      </c>
      <c r="S94" s="792">
        <f t="shared" si="78"/>
        <v>0.6</v>
      </c>
      <c r="T94" s="715">
        <v>0</v>
      </c>
      <c r="U94" s="792">
        <f t="shared" si="79"/>
        <v>0.2</v>
      </c>
      <c r="V94" s="715">
        <v>0</v>
      </c>
      <c r="W94" s="792">
        <f t="shared" si="80"/>
        <v>0.2</v>
      </c>
      <c r="X94" s="715">
        <v>1</v>
      </c>
      <c r="Y94" s="792">
        <f t="shared" si="81"/>
        <v>0.2</v>
      </c>
      <c r="Z94" s="715">
        <v>1</v>
      </c>
      <c r="AA94" s="792">
        <f t="shared" si="82"/>
        <v>0.4</v>
      </c>
      <c r="AB94" s="715">
        <v>0</v>
      </c>
      <c r="AC94" s="792">
        <f t="shared" si="83"/>
        <v>0.4</v>
      </c>
      <c r="AD94" s="715">
        <v>0</v>
      </c>
      <c r="AE94" s="792">
        <f t="shared" si="84"/>
        <v>0.4</v>
      </c>
    </row>
    <row r="95" spans="1:31" ht="18" customHeight="1" x14ac:dyDescent="0.3">
      <c r="A95" s="678" t="s">
        <v>1098</v>
      </c>
      <c r="B95" s="541">
        <v>46</v>
      </c>
      <c r="C95" s="541">
        <v>66</v>
      </c>
      <c r="D95" s="541">
        <v>67</v>
      </c>
      <c r="E95" s="541">
        <v>74</v>
      </c>
      <c r="F95" s="541">
        <v>65</v>
      </c>
      <c r="G95" s="706">
        <f t="shared" si="72"/>
        <v>63.6</v>
      </c>
      <c r="H95" s="541">
        <v>66</v>
      </c>
      <c r="I95" s="706">
        <f t="shared" si="73"/>
        <v>67.599999999999994</v>
      </c>
      <c r="J95" s="541">
        <v>58</v>
      </c>
      <c r="K95" s="706">
        <f t="shared" si="74"/>
        <v>66</v>
      </c>
      <c r="L95" s="541">
        <v>52</v>
      </c>
      <c r="M95" s="706">
        <f t="shared" si="75"/>
        <v>63</v>
      </c>
      <c r="N95" s="541">
        <v>48</v>
      </c>
      <c r="O95" s="785">
        <f t="shared" si="76"/>
        <v>57.8</v>
      </c>
      <c r="P95" s="715">
        <v>51</v>
      </c>
      <c r="Q95" s="792">
        <f t="shared" si="77"/>
        <v>55</v>
      </c>
      <c r="R95" s="715">
        <v>54</v>
      </c>
      <c r="S95" s="792">
        <f t="shared" si="78"/>
        <v>52.6</v>
      </c>
      <c r="T95" s="715">
        <v>52</v>
      </c>
      <c r="U95" s="792">
        <f t="shared" si="79"/>
        <v>51.4</v>
      </c>
      <c r="V95" s="715">
        <v>56</v>
      </c>
      <c r="W95" s="792">
        <f t="shared" si="80"/>
        <v>52.2</v>
      </c>
      <c r="X95" s="715">
        <v>65</v>
      </c>
      <c r="Y95" s="792">
        <f t="shared" si="81"/>
        <v>55.6</v>
      </c>
      <c r="Z95" s="715">
        <v>60</v>
      </c>
      <c r="AA95" s="792">
        <f t="shared" si="82"/>
        <v>57.4</v>
      </c>
      <c r="AB95" s="715">
        <v>57</v>
      </c>
      <c r="AC95" s="792">
        <f t="shared" si="83"/>
        <v>58</v>
      </c>
      <c r="AD95" s="715">
        <v>40</v>
      </c>
      <c r="AE95" s="792">
        <f t="shared" si="84"/>
        <v>55.6</v>
      </c>
    </row>
    <row r="96" spans="1:31" ht="18" customHeight="1" x14ac:dyDescent="0.3">
      <c r="A96" s="678" t="s">
        <v>23</v>
      </c>
      <c r="B96" s="541">
        <v>0</v>
      </c>
      <c r="C96" s="541">
        <v>0</v>
      </c>
      <c r="D96" s="541">
        <v>0</v>
      </c>
      <c r="E96" s="541">
        <v>0</v>
      </c>
      <c r="F96" s="541">
        <v>0</v>
      </c>
      <c r="G96" s="706">
        <f t="shared" si="72"/>
        <v>0</v>
      </c>
      <c r="H96" s="541">
        <v>0</v>
      </c>
      <c r="I96" s="706">
        <f t="shared" si="73"/>
        <v>0</v>
      </c>
      <c r="J96" s="541">
        <v>0</v>
      </c>
      <c r="K96" s="706">
        <f t="shared" si="74"/>
        <v>0</v>
      </c>
      <c r="L96" s="541">
        <v>15</v>
      </c>
      <c r="M96" s="706">
        <f t="shared" si="75"/>
        <v>3</v>
      </c>
      <c r="N96" s="541">
        <v>20</v>
      </c>
      <c r="O96" s="785">
        <f t="shared" si="76"/>
        <v>7</v>
      </c>
      <c r="P96" s="715">
        <v>0</v>
      </c>
      <c r="Q96" s="792">
        <f t="shared" si="77"/>
        <v>7</v>
      </c>
      <c r="R96" s="715">
        <v>0</v>
      </c>
      <c r="S96" s="792">
        <f t="shared" si="78"/>
        <v>7</v>
      </c>
      <c r="T96" s="715">
        <v>0</v>
      </c>
      <c r="U96" s="792">
        <f t="shared" si="79"/>
        <v>7</v>
      </c>
      <c r="V96" s="715">
        <v>0</v>
      </c>
      <c r="W96" s="792">
        <f t="shared" si="80"/>
        <v>4</v>
      </c>
      <c r="X96" s="715">
        <v>0</v>
      </c>
      <c r="Y96" s="792">
        <f t="shared" si="81"/>
        <v>0</v>
      </c>
      <c r="Z96" s="715">
        <v>0</v>
      </c>
      <c r="AA96" s="792">
        <f t="shared" si="82"/>
        <v>0</v>
      </c>
      <c r="AB96" s="715">
        <v>0</v>
      </c>
      <c r="AC96" s="792">
        <f t="shared" si="83"/>
        <v>0</v>
      </c>
      <c r="AD96" s="715">
        <v>0</v>
      </c>
      <c r="AE96" s="792">
        <f t="shared" si="84"/>
        <v>0</v>
      </c>
    </row>
    <row r="97" spans="1:31" ht="18" customHeight="1" x14ac:dyDescent="0.3">
      <c r="A97" s="679" t="s">
        <v>961</v>
      </c>
      <c r="B97" s="541">
        <f>SUM(B90:B96)</f>
        <v>139</v>
      </c>
      <c r="C97" s="541">
        <f>SUM(C90:C96)</f>
        <v>164</v>
      </c>
      <c r="D97" s="541">
        <f>SUM(D90:D96)</f>
        <v>166</v>
      </c>
      <c r="E97" s="541">
        <f>SUM(E90:E96)</f>
        <v>172</v>
      </c>
      <c r="F97" s="541">
        <f>SUM(F90:F96)</f>
        <v>170</v>
      </c>
      <c r="G97" s="706">
        <f t="shared" si="72"/>
        <v>162.19999999999999</v>
      </c>
      <c r="H97" s="541">
        <f>SUM(H90:H96)</f>
        <v>169</v>
      </c>
      <c r="I97" s="706">
        <f t="shared" si="73"/>
        <v>168.2</v>
      </c>
      <c r="J97" s="541">
        <f>SUM(J90:J96)</f>
        <v>165</v>
      </c>
      <c r="K97" s="706">
        <f t="shared" si="74"/>
        <v>168.4</v>
      </c>
      <c r="L97" s="541">
        <f>SUM(L90:L96)</f>
        <v>147</v>
      </c>
      <c r="M97" s="706">
        <f t="shared" si="75"/>
        <v>164.6</v>
      </c>
      <c r="N97" s="541">
        <f>SUM(N90:N96)</f>
        <v>146</v>
      </c>
      <c r="O97" s="785">
        <f t="shared" si="76"/>
        <v>159.4</v>
      </c>
      <c r="P97" s="715">
        <f>SUM(P90:P96)</f>
        <v>175</v>
      </c>
      <c r="Q97" s="792">
        <f t="shared" si="77"/>
        <v>160.4</v>
      </c>
      <c r="R97" s="715">
        <f>SUM(R90:R96)</f>
        <v>211</v>
      </c>
      <c r="S97" s="792">
        <f t="shared" si="78"/>
        <v>168.8</v>
      </c>
      <c r="T97" s="715">
        <f>SUM(T90:T96)</f>
        <v>194</v>
      </c>
      <c r="U97" s="792">
        <f t="shared" si="79"/>
        <v>174.6</v>
      </c>
      <c r="V97" s="715">
        <f>SUM(V90:V96)</f>
        <v>225</v>
      </c>
      <c r="W97" s="792">
        <f t="shared" si="80"/>
        <v>190.2</v>
      </c>
      <c r="X97" s="715">
        <f>SUM(X90:X96)</f>
        <v>255</v>
      </c>
      <c r="Y97" s="792">
        <f t="shared" si="81"/>
        <v>212</v>
      </c>
      <c r="Z97" s="715">
        <f>SUM(Z90:Z96)</f>
        <v>302</v>
      </c>
      <c r="AA97" s="792">
        <f t="shared" si="82"/>
        <v>237.4</v>
      </c>
      <c r="AB97" s="715">
        <f>SUM(AB90:AB96)</f>
        <v>292</v>
      </c>
      <c r="AC97" s="792">
        <f t="shared" si="83"/>
        <v>253.6</v>
      </c>
      <c r="AD97" s="715">
        <f>SUM(AD90:AD96)</f>
        <v>284</v>
      </c>
      <c r="AE97" s="792">
        <f t="shared" si="84"/>
        <v>271.60000000000002</v>
      </c>
    </row>
    <row r="98" spans="1:31" ht="18" customHeight="1" x14ac:dyDescent="0.3">
      <c r="A98" s="677" t="s">
        <v>417</v>
      </c>
      <c r="B98" s="704"/>
      <c r="C98" s="704"/>
      <c r="D98" s="704"/>
      <c r="E98" s="704"/>
      <c r="F98" s="537"/>
      <c r="G98" s="708"/>
      <c r="H98" s="537"/>
      <c r="I98" s="708"/>
      <c r="J98" s="537"/>
      <c r="K98" s="708"/>
      <c r="L98" s="537"/>
      <c r="M98" s="705"/>
      <c r="N98" s="537"/>
      <c r="O98" s="786"/>
      <c r="P98" s="552"/>
      <c r="Q98" s="552"/>
      <c r="R98" s="552"/>
      <c r="S98" s="552"/>
      <c r="T98" s="552"/>
      <c r="U98" s="552"/>
      <c r="V98" s="552"/>
      <c r="W98" s="552"/>
      <c r="X98" s="552"/>
      <c r="Y98" s="552"/>
      <c r="Z98" s="552"/>
      <c r="AA98" s="552"/>
      <c r="AB98" s="552"/>
      <c r="AC98" s="552"/>
      <c r="AD98" s="552"/>
      <c r="AE98" s="552"/>
    </row>
    <row r="99" spans="1:31" ht="18" customHeight="1" x14ac:dyDescent="0.3">
      <c r="A99" s="678" t="s">
        <v>1047</v>
      </c>
      <c r="B99" s="541">
        <v>59</v>
      </c>
      <c r="C99" s="541">
        <v>37</v>
      </c>
      <c r="D99" s="541">
        <v>55</v>
      </c>
      <c r="E99" s="541">
        <v>61</v>
      </c>
      <c r="F99" s="541">
        <v>74</v>
      </c>
      <c r="G99" s="706">
        <f t="shared" ref="G99:G105" si="85">AVERAGE(B99:F99)</f>
        <v>57.2</v>
      </c>
      <c r="H99" s="541">
        <f>72-1</f>
        <v>71</v>
      </c>
      <c r="I99" s="706">
        <f t="shared" ref="I99:I105" si="86">(H99+F99+E99+D99+C99)/5</f>
        <v>59.6</v>
      </c>
      <c r="J99" s="541">
        <v>56</v>
      </c>
      <c r="K99" s="706">
        <f t="shared" ref="K99:K105" si="87">(J99+H99+F99+E99+D99)/5</f>
        <v>63.4</v>
      </c>
      <c r="L99" s="541">
        <v>66</v>
      </c>
      <c r="M99" s="706">
        <f t="shared" ref="M99:M105" si="88">(L99+J99+H99+F99+E99)/5</f>
        <v>65.599999999999994</v>
      </c>
      <c r="N99" s="541">
        <v>57</v>
      </c>
      <c r="O99" s="785">
        <f t="shared" ref="O99:O105" si="89">(+N99+L99+J99+H99+F99)/5</f>
        <v>64.8</v>
      </c>
      <c r="P99" s="715">
        <v>92</v>
      </c>
      <c r="Q99" s="792">
        <f t="shared" ref="Q99:Q105" si="90">(P99+N99+L99+J99+H99)/5</f>
        <v>68.400000000000006</v>
      </c>
      <c r="R99" s="715">
        <v>83</v>
      </c>
      <c r="S99" s="792">
        <f t="shared" ref="S99:S105" si="91">(R99+P99+N99+L99+J99)/5</f>
        <v>70.8</v>
      </c>
      <c r="T99" s="715">
        <v>67</v>
      </c>
      <c r="U99" s="792">
        <f t="shared" ref="U99:U105" si="92">(T99+R99+P99+N99+L99)/5</f>
        <v>73</v>
      </c>
      <c r="V99" s="715">
        <v>55</v>
      </c>
      <c r="W99" s="792">
        <f t="shared" ref="W99:W105" si="93">(V99+T99+R99+P99+N99)/5</f>
        <v>70.8</v>
      </c>
      <c r="X99" s="715">
        <v>74</v>
      </c>
      <c r="Y99" s="792">
        <f t="shared" ref="Y99:Y105" si="94">(X99+V99+T99+R99+P99)/5</f>
        <v>74.2</v>
      </c>
      <c r="Z99" s="715">
        <v>71</v>
      </c>
      <c r="AA99" s="792">
        <f t="shared" ref="AA99:AA105" si="95">(Z99+X99+V99+T99+R99)/5</f>
        <v>70</v>
      </c>
      <c r="AB99" s="715">
        <v>125</v>
      </c>
      <c r="AC99" s="792">
        <f t="shared" ref="AC99:AC105" si="96">(AB99+Z99+X99+V99+T99)/5</f>
        <v>78.400000000000006</v>
      </c>
      <c r="AD99" s="715">
        <v>141</v>
      </c>
      <c r="AE99" s="792">
        <f t="shared" ref="AE99:AE105" si="97">(AD99+AB99+Z99+X99+V99)/5</f>
        <v>93.2</v>
      </c>
    </row>
    <row r="100" spans="1:31" ht="18" customHeight="1" x14ac:dyDescent="0.3">
      <c r="A100" s="678" t="s">
        <v>1081</v>
      </c>
      <c r="B100" s="541">
        <v>0</v>
      </c>
      <c r="C100" s="541">
        <v>0</v>
      </c>
      <c r="D100" s="541">
        <v>0</v>
      </c>
      <c r="E100" s="541">
        <v>0</v>
      </c>
      <c r="F100" s="541">
        <v>0</v>
      </c>
      <c r="G100" s="706">
        <f t="shared" si="85"/>
        <v>0</v>
      </c>
      <c r="H100" s="541">
        <v>0</v>
      </c>
      <c r="I100" s="706">
        <f t="shared" si="86"/>
        <v>0</v>
      </c>
      <c r="J100" s="541">
        <v>0</v>
      </c>
      <c r="K100" s="706">
        <f t="shared" si="87"/>
        <v>0</v>
      </c>
      <c r="L100" s="541">
        <v>2</v>
      </c>
      <c r="M100" s="706">
        <f t="shared" si="88"/>
        <v>0.4</v>
      </c>
      <c r="N100" s="541">
        <v>4</v>
      </c>
      <c r="O100" s="785">
        <f t="shared" si="89"/>
        <v>1.2</v>
      </c>
      <c r="P100" s="715">
        <v>4</v>
      </c>
      <c r="Q100" s="792">
        <f t="shared" si="90"/>
        <v>2</v>
      </c>
      <c r="R100" s="715">
        <v>3</v>
      </c>
      <c r="S100" s="792">
        <f t="shared" si="91"/>
        <v>2.6</v>
      </c>
      <c r="T100" s="715">
        <v>5</v>
      </c>
      <c r="U100" s="792">
        <f t="shared" si="92"/>
        <v>3.6</v>
      </c>
      <c r="V100" s="715">
        <v>8</v>
      </c>
      <c r="W100" s="792">
        <f t="shared" si="93"/>
        <v>4.8</v>
      </c>
      <c r="X100" s="715">
        <v>7</v>
      </c>
      <c r="Y100" s="792">
        <f t="shared" si="94"/>
        <v>5.4</v>
      </c>
      <c r="Z100" s="715">
        <v>12</v>
      </c>
      <c r="AA100" s="792">
        <f t="shared" si="95"/>
        <v>7</v>
      </c>
      <c r="AB100" s="715">
        <v>8</v>
      </c>
      <c r="AC100" s="792">
        <f t="shared" si="96"/>
        <v>8</v>
      </c>
      <c r="AD100" s="715">
        <v>2</v>
      </c>
      <c r="AE100" s="792">
        <f t="shared" si="97"/>
        <v>7.4</v>
      </c>
    </row>
    <row r="101" spans="1:31" ht="18" customHeight="1" x14ac:dyDescent="0.3">
      <c r="A101" s="678" t="s">
        <v>384</v>
      </c>
      <c r="B101" s="541">
        <v>0</v>
      </c>
      <c r="C101" s="541">
        <v>0</v>
      </c>
      <c r="D101" s="541">
        <v>0</v>
      </c>
      <c r="E101" s="541">
        <v>4</v>
      </c>
      <c r="F101" s="541">
        <v>3</v>
      </c>
      <c r="G101" s="706">
        <f t="shared" si="85"/>
        <v>1.4</v>
      </c>
      <c r="H101" s="541">
        <v>6</v>
      </c>
      <c r="I101" s="706">
        <f t="shared" si="86"/>
        <v>2.6</v>
      </c>
      <c r="J101" s="541">
        <v>4</v>
      </c>
      <c r="K101" s="706">
        <f t="shared" si="87"/>
        <v>3.4</v>
      </c>
      <c r="L101" s="541">
        <v>1</v>
      </c>
      <c r="M101" s="706">
        <f t="shared" si="88"/>
        <v>3.6</v>
      </c>
      <c r="N101" s="541">
        <v>6</v>
      </c>
      <c r="O101" s="785">
        <f t="shared" si="89"/>
        <v>4</v>
      </c>
      <c r="P101" s="715">
        <v>22</v>
      </c>
      <c r="Q101" s="792">
        <f t="shared" si="90"/>
        <v>7.8</v>
      </c>
      <c r="R101" s="715">
        <v>4</v>
      </c>
      <c r="S101" s="792">
        <f t="shared" si="91"/>
        <v>7.4</v>
      </c>
      <c r="T101" s="715">
        <v>0</v>
      </c>
      <c r="U101" s="792">
        <f t="shared" si="92"/>
        <v>6.6</v>
      </c>
      <c r="V101" s="715">
        <v>3</v>
      </c>
      <c r="W101" s="792">
        <f t="shared" si="93"/>
        <v>7</v>
      </c>
      <c r="X101" s="715">
        <v>0</v>
      </c>
      <c r="Y101" s="792">
        <f t="shared" si="94"/>
        <v>5.8</v>
      </c>
      <c r="Z101" s="715">
        <v>0</v>
      </c>
      <c r="AA101" s="792">
        <f t="shared" si="95"/>
        <v>1.4</v>
      </c>
      <c r="AB101" s="715">
        <v>1</v>
      </c>
      <c r="AC101" s="792">
        <f t="shared" si="96"/>
        <v>0.8</v>
      </c>
      <c r="AD101" s="715">
        <v>0</v>
      </c>
      <c r="AE101" s="792">
        <f t="shared" si="97"/>
        <v>0.8</v>
      </c>
    </row>
    <row r="102" spans="1:31" ht="18" customHeight="1" x14ac:dyDescent="0.3">
      <c r="A102" s="678" t="s">
        <v>1049</v>
      </c>
      <c r="B102" s="541">
        <v>63</v>
      </c>
      <c r="C102" s="541">
        <v>66</v>
      </c>
      <c r="D102" s="541">
        <v>58</v>
      </c>
      <c r="E102" s="541">
        <v>66</v>
      </c>
      <c r="F102" s="541">
        <v>50</v>
      </c>
      <c r="G102" s="706">
        <f t="shared" si="85"/>
        <v>60.6</v>
      </c>
      <c r="H102" s="541">
        <v>54</v>
      </c>
      <c r="I102" s="706">
        <f t="shared" si="86"/>
        <v>58.8</v>
      </c>
      <c r="J102" s="541">
        <v>46</v>
      </c>
      <c r="K102" s="706">
        <f t="shared" si="87"/>
        <v>54.8</v>
      </c>
      <c r="L102" s="541">
        <v>64</v>
      </c>
      <c r="M102" s="706">
        <f t="shared" si="88"/>
        <v>56</v>
      </c>
      <c r="N102" s="541">
        <v>55</v>
      </c>
      <c r="O102" s="785">
        <f t="shared" si="89"/>
        <v>53.8</v>
      </c>
      <c r="P102" s="715">
        <v>31</v>
      </c>
      <c r="Q102" s="792">
        <f t="shared" si="90"/>
        <v>50</v>
      </c>
      <c r="R102" s="715">
        <v>60</v>
      </c>
      <c r="S102" s="792">
        <f t="shared" si="91"/>
        <v>51.2</v>
      </c>
      <c r="T102" s="715">
        <v>52</v>
      </c>
      <c r="U102" s="792">
        <f t="shared" si="92"/>
        <v>52.4</v>
      </c>
      <c r="V102" s="715">
        <v>60</v>
      </c>
      <c r="W102" s="792">
        <f t="shared" si="93"/>
        <v>51.6</v>
      </c>
      <c r="X102" s="715">
        <v>62</v>
      </c>
      <c r="Y102" s="792">
        <f t="shared" si="94"/>
        <v>53</v>
      </c>
      <c r="Z102" s="715">
        <v>95</v>
      </c>
      <c r="AA102" s="792">
        <f t="shared" si="95"/>
        <v>65.8</v>
      </c>
      <c r="AB102" s="715">
        <v>51</v>
      </c>
      <c r="AC102" s="792">
        <f t="shared" si="96"/>
        <v>64</v>
      </c>
      <c r="AD102" s="715">
        <v>20</v>
      </c>
      <c r="AE102" s="792">
        <f t="shared" si="97"/>
        <v>57.6</v>
      </c>
    </row>
    <row r="103" spans="1:31" ht="18" customHeight="1" x14ac:dyDescent="0.3">
      <c r="A103" s="678" t="s">
        <v>385</v>
      </c>
      <c r="B103" s="541">
        <v>9</v>
      </c>
      <c r="C103" s="541">
        <v>12</v>
      </c>
      <c r="D103" s="541">
        <v>11</v>
      </c>
      <c r="E103" s="541">
        <v>12</v>
      </c>
      <c r="F103" s="541">
        <v>6</v>
      </c>
      <c r="G103" s="706">
        <f t="shared" si="85"/>
        <v>10</v>
      </c>
      <c r="H103" s="541">
        <v>15</v>
      </c>
      <c r="I103" s="706">
        <f t="shared" si="86"/>
        <v>11.2</v>
      </c>
      <c r="J103" s="541">
        <v>17</v>
      </c>
      <c r="K103" s="706">
        <f t="shared" si="87"/>
        <v>12.2</v>
      </c>
      <c r="L103" s="541">
        <v>25</v>
      </c>
      <c r="M103" s="706">
        <f t="shared" si="88"/>
        <v>15</v>
      </c>
      <c r="N103" s="541">
        <v>25</v>
      </c>
      <c r="O103" s="785">
        <f t="shared" si="89"/>
        <v>17.600000000000001</v>
      </c>
      <c r="P103" s="715">
        <v>8</v>
      </c>
      <c r="Q103" s="792">
        <f t="shared" si="90"/>
        <v>18</v>
      </c>
      <c r="R103" s="715">
        <v>30</v>
      </c>
      <c r="S103" s="792">
        <f t="shared" si="91"/>
        <v>21</v>
      </c>
      <c r="T103" s="715">
        <v>21</v>
      </c>
      <c r="U103" s="792">
        <f t="shared" si="92"/>
        <v>21.8</v>
      </c>
      <c r="V103" s="715">
        <v>13</v>
      </c>
      <c r="W103" s="792">
        <f t="shared" si="93"/>
        <v>19.399999999999999</v>
      </c>
      <c r="X103" s="715">
        <v>8</v>
      </c>
      <c r="Y103" s="792">
        <f t="shared" si="94"/>
        <v>16</v>
      </c>
      <c r="Z103" s="715">
        <v>0</v>
      </c>
      <c r="AA103" s="792">
        <f t="shared" si="95"/>
        <v>14.4</v>
      </c>
      <c r="AB103" s="715">
        <v>0</v>
      </c>
      <c r="AC103" s="792">
        <f t="shared" si="96"/>
        <v>8.4</v>
      </c>
      <c r="AD103" s="715">
        <v>0</v>
      </c>
      <c r="AE103" s="792">
        <f t="shared" si="97"/>
        <v>4.2</v>
      </c>
    </row>
    <row r="104" spans="1:31" ht="18" customHeight="1" x14ac:dyDescent="0.3">
      <c r="A104" s="679" t="s">
        <v>961</v>
      </c>
      <c r="B104" s="541">
        <f>SUM(B99:B103)</f>
        <v>131</v>
      </c>
      <c r="C104" s="541">
        <f>SUM(C99:C103)</f>
        <v>115</v>
      </c>
      <c r="D104" s="541">
        <f>SUM(D99:D103)</f>
        <v>124</v>
      </c>
      <c r="E104" s="541">
        <f>SUM(E99:E103)</f>
        <v>143</v>
      </c>
      <c r="F104" s="541">
        <f>SUM(F99:F103)</f>
        <v>133</v>
      </c>
      <c r="G104" s="706">
        <f t="shared" si="85"/>
        <v>129.19999999999999</v>
      </c>
      <c r="H104" s="541">
        <f>SUM(H99:H103)</f>
        <v>146</v>
      </c>
      <c r="I104" s="706">
        <f t="shared" si="86"/>
        <v>132.19999999999999</v>
      </c>
      <c r="J104" s="541">
        <f>SUM(J99:J103)</f>
        <v>123</v>
      </c>
      <c r="K104" s="706">
        <f t="shared" si="87"/>
        <v>133.80000000000001</v>
      </c>
      <c r="L104" s="541">
        <f>SUM(L99:L103)</f>
        <v>158</v>
      </c>
      <c r="M104" s="706">
        <f t="shared" si="88"/>
        <v>140.6</v>
      </c>
      <c r="N104" s="541">
        <f>SUM(N99:N103)</f>
        <v>147</v>
      </c>
      <c r="O104" s="785">
        <f t="shared" si="89"/>
        <v>141.4</v>
      </c>
      <c r="P104" s="715">
        <f>SUM(P99:P103)</f>
        <v>157</v>
      </c>
      <c r="Q104" s="792">
        <f t="shared" si="90"/>
        <v>146.19999999999999</v>
      </c>
      <c r="R104" s="715">
        <f>SUM(R99:R103)</f>
        <v>180</v>
      </c>
      <c r="S104" s="792">
        <f t="shared" si="91"/>
        <v>153</v>
      </c>
      <c r="T104" s="715">
        <f>SUM(T99:T103)</f>
        <v>145</v>
      </c>
      <c r="U104" s="792">
        <f t="shared" si="92"/>
        <v>157.4</v>
      </c>
      <c r="V104" s="715">
        <f>SUM(V99:V103)</f>
        <v>139</v>
      </c>
      <c r="W104" s="792">
        <f t="shared" si="93"/>
        <v>153.6</v>
      </c>
      <c r="X104" s="715">
        <f>SUM(X99:X103)</f>
        <v>151</v>
      </c>
      <c r="Y104" s="792">
        <f t="shared" si="94"/>
        <v>154.4</v>
      </c>
      <c r="Z104" s="715">
        <f>SUM(Z99:Z103)</f>
        <v>178</v>
      </c>
      <c r="AA104" s="792">
        <f t="shared" si="95"/>
        <v>158.6</v>
      </c>
      <c r="AB104" s="715">
        <f>SUM(AB99:AB103)</f>
        <v>185</v>
      </c>
      <c r="AC104" s="792">
        <f t="shared" si="96"/>
        <v>159.6</v>
      </c>
      <c r="AD104" s="715">
        <f>SUM(AD99:AD103)</f>
        <v>163</v>
      </c>
      <c r="AE104" s="792">
        <f t="shared" si="97"/>
        <v>163.19999999999999</v>
      </c>
    </row>
    <row r="105" spans="1:31" ht="18" customHeight="1" thickBot="1" x14ac:dyDescent="0.35">
      <c r="A105" s="971" t="s">
        <v>418</v>
      </c>
      <c r="B105" s="972">
        <f>+B104+B97+B88</f>
        <v>831</v>
      </c>
      <c r="C105" s="972">
        <f>+C104+C97+C88</f>
        <v>849</v>
      </c>
      <c r="D105" s="972">
        <f>+D104+D97+D88</f>
        <v>752</v>
      </c>
      <c r="E105" s="972">
        <f>+E104+E97+E88</f>
        <v>1008</v>
      </c>
      <c r="F105" s="972">
        <f>+F104+F97+F88</f>
        <v>1095</v>
      </c>
      <c r="G105" s="973">
        <f t="shared" si="85"/>
        <v>907</v>
      </c>
      <c r="H105" s="972">
        <f>+H104+H97+H88</f>
        <v>873</v>
      </c>
      <c r="I105" s="973">
        <f t="shared" si="86"/>
        <v>915.4</v>
      </c>
      <c r="J105" s="972">
        <f>+J104+J97+J88</f>
        <v>1000</v>
      </c>
      <c r="K105" s="973">
        <f t="shared" si="87"/>
        <v>945.6</v>
      </c>
      <c r="L105" s="972">
        <f>+L104+L97+L88</f>
        <v>998</v>
      </c>
      <c r="M105" s="973">
        <f t="shared" si="88"/>
        <v>994.8</v>
      </c>
      <c r="N105" s="972">
        <f>+N104+N97+N88</f>
        <v>850</v>
      </c>
      <c r="O105" s="974">
        <f t="shared" si="89"/>
        <v>963.2</v>
      </c>
      <c r="P105" s="975">
        <f>+P104+P97+P88</f>
        <v>789</v>
      </c>
      <c r="Q105" s="976">
        <f t="shared" si="90"/>
        <v>902</v>
      </c>
      <c r="R105" s="975">
        <f>+R104+R97+R88</f>
        <v>777</v>
      </c>
      <c r="S105" s="976">
        <f t="shared" si="91"/>
        <v>882.8</v>
      </c>
      <c r="T105" s="975">
        <f>+T104+T97+T88</f>
        <v>720</v>
      </c>
      <c r="U105" s="976">
        <f t="shared" si="92"/>
        <v>826.8</v>
      </c>
      <c r="V105" s="975">
        <f>+V104+V97+V88</f>
        <v>776</v>
      </c>
      <c r="W105" s="976">
        <f t="shared" si="93"/>
        <v>782.4</v>
      </c>
      <c r="X105" s="975">
        <f>+X104+X97+X88</f>
        <v>847</v>
      </c>
      <c r="Y105" s="976">
        <f t="shared" si="94"/>
        <v>781.8</v>
      </c>
      <c r="Z105" s="975">
        <f>+Z104+Z97+Z88</f>
        <v>893</v>
      </c>
      <c r="AA105" s="976">
        <f t="shared" si="95"/>
        <v>802.6</v>
      </c>
      <c r="AB105" s="975">
        <f>+AB104+AB97+AB88</f>
        <v>846</v>
      </c>
      <c r="AC105" s="976">
        <f t="shared" si="96"/>
        <v>816.4</v>
      </c>
      <c r="AD105" s="975">
        <f>+AD104+AD97+AD88</f>
        <v>845</v>
      </c>
      <c r="AE105" s="976">
        <f t="shared" si="97"/>
        <v>841.4</v>
      </c>
    </row>
    <row r="106" spans="1:31" ht="20.25" customHeight="1" thickBot="1" x14ac:dyDescent="0.35">
      <c r="A106" s="1718" t="s">
        <v>419</v>
      </c>
      <c r="B106" s="1719"/>
      <c r="C106" s="1719"/>
      <c r="D106" s="1719"/>
      <c r="E106" s="1719"/>
      <c r="F106" s="1719"/>
      <c r="G106" s="1719"/>
      <c r="H106" s="1719"/>
      <c r="I106" s="1719"/>
      <c r="J106" s="1719"/>
      <c r="K106" s="1719"/>
      <c r="L106" s="1719"/>
      <c r="M106" s="1719"/>
      <c r="N106" s="1719"/>
      <c r="O106" s="1719"/>
      <c r="P106" s="1719"/>
      <c r="Q106" s="1719"/>
      <c r="R106" s="1719"/>
      <c r="S106" s="1719"/>
      <c r="T106" s="1719"/>
      <c r="U106" s="1719"/>
      <c r="V106" s="1719"/>
      <c r="W106" s="1719"/>
      <c r="X106" s="1719"/>
      <c r="Y106" s="1719"/>
      <c r="Z106" s="1719"/>
      <c r="AA106" s="1719"/>
      <c r="AB106" s="1719"/>
      <c r="AC106" s="1719"/>
      <c r="AD106" s="1719"/>
      <c r="AE106" s="1720"/>
    </row>
    <row r="107" spans="1:31" ht="20.25" customHeight="1" x14ac:dyDescent="0.3">
      <c r="A107" s="675" t="s">
        <v>401</v>
      </c>
      <c r="B107" s="702">
        <v>1996</v>
      </c>
      <c r="C107" s="702">
        <v>1997</v>
      </c>
      <c r="D107" s="702">
        <v>1998</v>
      </c>
      <c r="E107" s="702">
        <v>1999</v>
      </c>
      <c r="F107" s="672">
        <v>2000</v>
      </c>
      <c r="G107" s="703" t="s">
        <v>378</v>
      </c>
      <c r="H107" s="673">
        <f>F107+1</f>
        <v>2001</v>
      </c>
      <c r="I107" s="703" t="s">
        <v>378</v>
      </c>
      <c r="J107" s="673">
        <f>+H107+1</f>
        <v>2002</v>
      </c>
      <c r="K107" s="703" t="s">
        <v>378</v>
      </c>
      <c r="L107" s="673">
        <f>J107+1</f>
        <v>2003</v>
      </c>
      <c r="M107" s="703" t="s">
        <v>378</v>
      </c>
      <c r="N107" s="673">
        <f>L107+1</f>
        <v>2004</v>
      </c>
      <c r="O107" s="783" t="s">
        <v>378</v>
      </c>
      <c r="P107" s="672">
        <f>N107+1</f>
        <v>2005</v>
      </c>
      <c r="Q107" s="977" t="s">
        <v>378</v>
      </c>
      <c r="R107" s="672">
        <f>P107+1</f>
        <v>2006</v>
      </c>
      <c r="S107" s="977" t="s">
        <v>378</v>
      </c>
      <c r="T107" s="672">
        <f>R107+1</f>
        <v>2007</v>
      </c>
      <c r="U107" s="977" t="s">
        <v>378</v>
      </c>
      <c r="V107" s="672">
        <f>T107+1</f>
        <v>2008</v>
      </c>
      <c r="W107" s="977" t="s">
        <v>378</v>
      </c>
      <c r="X107" s="672">
        <f>V107+1</f>
        <v>2009</v>
      </c>
      <c r="Y107" s="977" t="s">
        <v>378</v>
      </c>
      <c r="Z107" s="672">
        <f>X107+1</f>
        <v>2010</v>
      </c>
      <c r="AA107" s="977" t="s">
        <v>378</v>
      </c>
      <c r="AB107" s="672">
        <f>Z107+1</f>
        <v>2011</v>
      </c>
      <c r="AC107" s="977" t="s">
        <v>378</v>
      </c>
      <c r="AD107" s="672">
        <f>AB107+1</f>
        <v>2012</v>
      </c>
      <c r="AE107" s="977" t="s">
        <v>378</v>
      </c>
    </row>
    <row r="108" spans="1:31" ht="18" customHeight="1" x14ac:dyDescent="0.3">
      <c r="A108" s="683" t="s">
        <v>420</v>
      </c>
      <c r="B108" s="711"/>
      <c r="C108" s="711"/>
      <c r="D108" s="711"/>
      <c r="E108" s="711"/>
      <c r="F108" s="552"/>
      <c r="G108" s="712"/>
      <c r="H108" s="552"/>
      <c r="I108" s="713"/>
      <c r="J108" s="554"/>
      <c r="K108" s="713"/>
      <c r="L108" s="554"/>
      <c r="M108" s="713"/>
      <c r="N108" s="554"/>
      <c r="O108" s="784"/>
      <c r="P108" s="552"/>
      <c r="Q108" s="552"/>
      <c r="R108" s="552"/>
      <c r="S108" s="552"/>
      <c r="T108" s="552"/>
      <c r="U108" s="552"/>
      <c r="V108" s="552"/>
      <c r="W108" s="552"/>
      <c r="X108" s="552"/>
      <c r="Y108" s="552"/>
      <c r="Z108" s="552"/>
      <c r="AA108" s="552"/>
      <c r="AB108" s="552"/>
      <c r="AC108" s="552"/>
      <c r="AD108" s="552"/>
      <c r="AE108" s="552"/>
    </row>
    <row r="109" spans="1:31" ht="18" customHeight="1" x14ac:dyDescent="0.3">
      <c r="A109" s="678" t="s">
        <v>1099</v>
      </c>
      <c r="B109" s="541">
        <v>98</v>
      </c>
      <c r="C109" s="541">
        <v>101</v>
      </c>
      <c r="D109" s="541">
        <v>108</v>
      </c>
      <c r="E109" s="541">
        <v>110</v>
      </c>
      <c r="F109" s="541">
        <v>104</v>
      </c>
      <c r="G109" s="706">
        <f t="shared" ref="G109:G115" si="98">AVERAGE(B109:F109)</f>
        <v>104.2</v>
      </c>
      <c r="H109" s="541">
        <v>83</v>
      </c>
      <c r="I109" s="706">
        <f t="shared" ref="I109:I115" si="99">(H109+F109+E109+D109+C109)/5</f>
        <v>101.2</v>
      </c>
      <c r="J109" s="541">
        <v>76</v>
      </c>
      <c r="K109" s="706">
        <f t="shared" ref="K109:K115" si="100">(J109+H109+F109+E109+D109)/5</f>
        <v>96.2</v>
      </c>
      <c r="L109" s="541">
        <v>98</v>
      </c>
      <c r="M109" s="706">
        <f t="shared" ref="M109:M115" si="101">(L109+J109+H109+F109+E109)/5</f>
        <v>94.2</v>
      </c>
      <c r="N109" s="541">
        <v>101</v>
      </c>
      <c r="O109" s="785">
        <f t="shared" ref="O109:O115" si="102">(+N109+L109+J109+H109+F109)/5</f>
        <v>92.4</v>
      </c>
      <c r="P109" s="715">
        <v>84</v>
      </c>
      <c r="Q109" s="792">
        <f t="shared" ref="Q109:Q115" si="103">(P109+N109+L109+J109+H109)/5</f>
        <v>88.4</v>
      </c>
      <c r="R109" s="715">
        <v>75</v>
      </c>
      <c r="S109" s="792">
        <f t="shared" ref="S109:S115" si="104">(R109+P109+N109+L109+J109)/5</f>
        <v>86.8</v>
      </c>
      <c r="T109" s="715">
        <v>65</v>
      </c>
      <c r="U109" s="792">
        <f t="shared" ref="U109:U115" si="105">(T109+R109+P109+N109+L109)/5</f>
        <v>84.6</v>
      </c>
      <c r="V109" s="715">
        <v>97</v>
      </c>
      <c r="W109" s="792">
        <f t="shared" ref="W109:W115" si="106">(V109+T109+R109+P109+N109)/5</f>
        <v>84.4</v>
      </c>
      <c r="X109" s="715">
        <v>96</v>
      </c>
      <c r="Y109" s="792">
        <f t="shared" ref="Y109:Y115" si="107">(X109+V109+T109+R109+P109)/5</f>
        <v>83.4</v>
      </c>
      <c r="Z109" s="715">
        <v>92</v>
      </c>
      <c r="AA109" s="792">
        <f t="shared" ref="AA109:AA115" si="108">(Z109+X109+V109+T109+R109)/5</f>
        <v>85</v>
      </c>
      <c r="AB109" s="715">
        <v>84</v>
      </c>
      <c r="AC109" s="792">
        <f t="shared" ref="AC109:AC115" si="109">(AB109+Z109+X109+V109+T109)/5</f>
        <v>86.8</v>
      </c>
      <c r="AD109" s="715">
        <v>101</v>
      </c>
      <c r="AE109" s="792">
        <f t="shared" ref="AE109:AE115" si="110">(AD109+AB109+Z109+X109+V109)/5</f>
        <v>94</v>
      </c>
    </row>
    <row r="110" spans="1:31" ht="18" customHeight="1" x14ac:dyDescent="0.3">
      <c r="A110" s="678" t="s">
        <v>1104</v>
      </c>
      <c r="B110" s="541">
        <v>43</v>
      </c>
      <c r="C110" s="541">
        <v>44</v>
      </c>
      <c r="D110" s="541">
        <v>43</v>
      </c>
      <c r="E110" s="541">
        <v>44</v>
      </c>
      <c r="F110" s="541">
        <v>53</v>
      </c>
      <c r="G110" s="706">
        <f t="shared" si="98"/>
        <v>45.4</v>
      </c>
      <c r="H110" s="541">
        <v>55</v>
      </c>
      <c r="I110" s="706">
        <f t="shared" si="99"/>
        <v>47.8</v>
      </c>
      <c r="J110" s="541">
        <v>55</v>
      </c>
      <c r="K110" s="706">
        <f t="shared" si="100"/>
        <v>50</v>
      </c>
      <c r="L110" s="541">
        <v>44</v>
      </c>
      <c r="M110" s="706">
        <f t="shared" si="101"/>
        <v>50.2</v>
      </c>
      <c r="N110" s="541">
        <v>37</v>
      </c>
      <c r="O110" s="785">
        <f t="shared" si="102"/>
        <v>48.8</v>
      </c>
      <c r="P110" s="715">
        <v>22</v>
      </c>
      <c r="Q110" s="792">
        <f t="shared" si="103"/>
        <v>42.6</v>
      </c>
      <c r="R110" s="715">
        <v>29</v>
      </c>
      <c r="S110" s="792">
        <f t="shared" si="104"/>
        <v>37.4</v>
      </c>
      <c r="T110" s="715">
        <v>26</v>
      </c>
      <c r="U110" s="792">
        <f t="shared" si="105"/>
        <v>31.6</v>
      </c>
      <c r="V110" s="715">
        <v>38</v>
      </c>
      <c r="W110" s="792">
        <f t="shared" si="106"/>
        <v>30.4</v>
      </c>
      <c r="X110" s="715">
        <v>35</v>
      </c>
      <c r="Y110" s="792">
        <f t="shared" si="107"/>
        <v>30</v>
      </c>
      <c r="Z110" s="715">
        <v>39</v>
      </c>
      <c r="AA110" s="792">
        <f t="shared" si="108"/>
        <v>33.4</v>
      </c>
      <c r="AB110" s="715">
        <v>32</v>
      </c>
      <c r="AC110" s="792">
        <f t="shared" si="109"/>
        <v>34</v>
      </c>
      <c r="AD110" s="715">
        <v>32</v>
      </c>
      <c r="AE110" s="792">
        <f t="shared" si="110"/>
        <v>35.200000000000003</v>
      </c>
    </row>
    <row r="111" spans="1:31" ht="18" customHeight="1" x14ac:dyDescent="0.3">
      <c r="A111" s="678" t="s">
        <v>1105</v>
      </c>
      <c r="B111" s="541">
        <v>2</v>
      </c>
      <c r="C111" s="541">
        <v>2</v>
      </c>
      <c r="D111" s="541">
        <v>17</v>
      </c>
      <c r="E111" s="541">
        <v>8</v>
      </c>
      <c r="F111" s="541">
        <v>2</v>
      </c>
      <c r="G111" s="706">
        <f t="shared" si="98"/>
        <v>6.2</v>
      </c>
      <c r="H111" s="541">
        <v>7</v>
      </c>
      <c r="I111" s="706">
        <f t="shared" si="99"/>
        <v>7.2</v>
      </c>
      <c r="J111" s="541">
        <v>2</v>
      </c>
      <c r="K111" s="706">
        <f t="shared" si="100"/>
        <v>7.2</v>
      </c>
      <c r="L111" s="541">
        <v>3</v>
      </c>
      <c r="M111" s="706">
        <f t="shared" si="101"/>
        <v>4.4000000000000004</v>
      </c>
      <c r="N111" s="541">
        <v>8</v>
      </c>
      <c r="O111" s="785">
        <f t="shared" si="102"/>
        <v>4.4000000000000004</v>
      </c>
      <c r="P111" s="715">
        <v>76</v>
      </c>
      <c r="Q111" s="792">
        <f t="shared" si="103"/>
        <v>19.2</v>
      </c>
      <c r="R111" s="715">
        <v>0</v>
      </c>
      <c r="S111" s="792">
        <f t="shared" si="104"/>
        <v>17.8</v>
      </c>
      <c r="T111" s="715">
        <v>14</v>
      </c>
      <c r="U111" s="792">
        <f t="shared" si="105"/>
        <v>20.2</v>
      </c>
      <c r="V111" s="715">
        <v>0</v>
      </c>
      <c r="W111" s="792">
        <f t="shared" si="106"/>
        <v>19.600000000000001</v>
      </c>
      <c r="X111" s="715">
        <v>1</v>
      </c>
      <c r="Y111" s="792">
        <f t="shared" si="107"/>
        <v>18.2</v>
      </c>
      <c r="Z111" s="715">
        <v>0</v>
      </c>
      <c r="AA111" s="792">
        <f t="shared" si="108"/>
        <v>3</v>
      </c>
      <c r="AB111" s="715">
        <v>0</v>
      </c>
      <c r="AC111" s="792">
        <f t="shared" si="109"/>
        <v>3</v>
      </c>
      <c r="AD111" s="715">
        <v>0</v>
      </c>
      <c r="AE111" s="792">
        <f t="shared" si="110"/>
        <v>0.2</v>
      </c>
    </row>
    <row r="112" spans="1:31" ht="18" customHeight="1" x14ac:dyDescent="0.3">
      <c r="A112" s="678" t="s">
        <v>1106</v>
      </c>
      <c r="B112" s="541">
        <v>74</v>
      </c>
      <c r="C112" s="541">
        <v>94</v>
      </c>
      <c r="D112" s="541">
        <v>102</v>
      </c>
      <c r="E112" s="541">
        <v>81</v>
      </c>
      <c r="F112" s="541">
        <v>79</v>
      </c>
      <c r="G112" s="706">
        <f t="shared" si="98"/>
        <v>86</v>
      </c>
      <c r="H112" s="541">
        <v>75</v>
      </c>
      <c r="I112" s="706">
        <f t="shared" si="99"/>
        <v>86.2</v>
      </c>
      <c r="J112" s="541">
        <f>75+2+1</f>
        <v>78</v>
      </c>
      <c r="K112" s="706">
        <f t="shared" si="100"/>
        <v>83</v>
      </c>
      <c r="L112" s="541">
        <v>75</v>
      </c>
      <c r="M112" s="706">
        <f t="shared" si="101"/>
        <v>77.599999999999994</v>
      </c>
      <c r="N112" s="541">
        <v>77</v>
      </c>
      <c r="O112" s="785">
        <f t="shared" si="102"/>
        <v>76.8</v>
      </c>
      <c r="P112" s="715">
        <v>75</v>
      </c>
      <c r="Q112" s="792">
        <f t="shared" si="103"/>
        <v>76</v>
      </c>
      <c r="R112" s="715">
        <v>84</v>
      </c>
      <c r="S112" s="792">
        <f t="shared" si="104"/>
        <v>77.8</v>
      </c>
      <c r="T112" s="715">
        <v>76</v>
      </c>
      <c r="U112" s="792">
        <f t="shared" si="105"/>
        <v>77.400000000000006</v>
      </c>
      <c r="V112" s="715">
        <v>90</v>
      </c>
      <c r="W112" s="792">
        <f t="shared" si="106"/>
        <v>80.400000000000006</v>
      </c>
      <c r="X112" s="715">
        <v>115</v>
      </c>
      <c r="Y112" s="792">
        <f t="shared" si="107"/>
        <v>88</v>
      </c>
      <c r="Z112" s="715">
        <v>116</v>
      </c>
      <c r="AA112" s="792">
        <f t="shared" si="108"/>
        <v>96.2</v>
      </c>
      <c r="AB112" s="715">
        <v>137</v>
      </c>
      <c r="AC112" s="792">
        <f t="shared" si="109"/>
        <v>106.8</v>
      </c>
      <c r="AD112" s="715">
        <v>139</v>
      </c>
      <c r="AE112" s="792">
        <f t="shared" si="110"/>
        <v>119.4</v>
      </c>
    </row>
    <row r="113" spans="1:31" ht="18" customHeight="1" x14ac:dyDescent="0.3">
      <c r="A113" s="678" t="s">
        <v>1107</v>
      </c>
      <c r="B113" s="541">
        <v>237</v>
      </c>
      <c r="C113" s="541">
        <v>228</v>
      </c>
      <c r="D113" s="541">
        <v>235</v>
      </c>
      <c r="E113" s="541">
        <v>250</v>
      </c>
      <c r="F113" s="541">
        <v>260</v>
      </c>
      <c r="G113" s="706">
        <f t="shared" si="98"/>
        <v>242</v>
      </c>
      <c r="H113" s="541">
        <v>292</v>
      </c>
      <c r="I113" s="706">
        <f t="shared" si="99"/>
        <v>253</v>
      </c>
      <c r="J113" s="541">
        <v>292</v>
      </c>
      <c r="K113" s="706">
        <f t="shared" si="100"/>
        <v>265.8</v>
      </c>
      <c r="L113" s="541">
        <v>239</v>
      </c>
      <c r="M113" s="706">
        <f t="shared" si="101"/>
        <v>266.60000000000002</v>
      </c>
      <c r="N113" s="541">
        <v>231</v>
      </c>
      <c r="O113" s="785">
        <f t="shared" si="102"/>
        <v>262.8</v>
      </c>
      <c r="P113" s="715">
        <v>212</v>
      </c>
      <c r="Q113" s="792">
        <f t="shared" si="103"/>
        <v>253.2</v>
      </c>
      <c r="R113" s="715">
        <v>265</v>
      </c>
      <c r="S113" s="792">
        <f t="shared" si="104"/>
        <v>247.8</v>
      </c>
      <c r="T113" s="715">
        <v>225</v>
      </c>
      <c r="U113" s="792">
        <f t="shared" si="105"/>
        <v>234.4</v>
      </c>
      <c r="V113" s="715">
        <v>236</v>
      </c>
      <c r="W113" s="792">
        <f t="shared" si="106"/>
        <v>233.8</v>
      </c>
      <c r="X113" s="715">
        <v>261</v>
      </c>
      <c r="Y113" s="792">
        <f t="shared" si="107"/>
        <v>239.8</v>
      </c>
      <c r="Z113" s="715">
        <v>237</v>
      </c>
      <c r="AA113" s="792">
        <f t="shared" si="108"/>
        <v>244.8</v>
      </c>
      <c r="AB113" s="715">
        <v>211</v>
      </c>
      <c r="AC113" s="792">
        <f t="shared" si="109"/>
        <v>234</v>
      </c>
      <c r="AD113" s="715">
        <v>192</v>
      </c>
      <c r="AE113" s="792">
        <f t="shared" si="110"/>
        <v>227.4</v>
      </c>
    </row>
    <row r="114" spans="1:31" ht="18" customHeight="1" x14ac:dyDescent="0.3">
      <c r="A114" s="678" t="s">
        <v>1086</v>
      </c>
      <c r="B114" s="541">
        <v>0</v>
      </c>
      <c r="C114" s="541">
        <v>0</v>
      </c>
      <c r="D114" s="541">
        <v>0</v>
      </c>
      <c r="E114" s="541">
        <v>0</v>
      </c>
      <c r="F114" s="541">
        <v>0</v>
      </c>
      <c r="G114" s="706">
        <f t="shared" si="98"/>
        <v>0</v>
      </c>
      <c r="H114" s="541">
        <v>0</v>
      </c>
      <c r="I114" s="706">
        <f t="shared" si="99"/>
        <v>0</v>
      </c>
      <c r="J114" s="541">
        <v>0</v>
      </c>
      <c r="K114" s="706">
        <f t="shared" si="100"/>
        <v>0</v>
      </c>
      <c r="L114" s="541">
        <v>5</v>
      </c>
      <c r="M114" s="706">
        <f t="shared" si="101"/>
        <v>1</v>
      </c>
      <c r="N114" s="541">
        <v>7</v>
      </c>
      <c r="O114" s="785">
        <f t="shared" si="102"/>
        <v>2.4</v>
      </c>
      <c r="P114" s="715">
        <v>8</v>
      </c>
      <c r="Q114" s="792">
        <f t="shared" si="103"/>
        <v>4</v>
      </c>
      <c r="R114" s="715">
        <v>6</v>
      </c>
      <c r="S114" s="792">
        <f t="shared" si="104"/>
        <v>5.2</v>
      </c>
      <c r="T114" s="715">
        <v>1</v>
      </c>
      <c r="U114" s="792">
        <f t="shared" si="105"/>
        <v>5.4</v>
      </c>
      <c r="V114" s="715">
        <v>4</v>
      </c>
      <c r="W114" s="792">
        <f t="shared" si="106"/>
        <v>5.2</v>
      </c>
      <c r="X114" s="715">
        <v>1</v>
      </c>
      <c r="Y114" s="792">
        <f t="shared" si="107"/>
        <v>4</v>
      </c>
      <c r="Z114" s="715">
        <v>0</v>
      </c>
      <c r="AA114" s="792">
        <f t="shared" si="108"/>
        <v>2.4</v>
      </c>
      <c r="AB114" s="715">
        <v>0</v>
      </c>
      <c r="AC114" s="792">
        <f t="shared" si="109"/>
        <v>1.2</v>
      </c>
      <c r="AD114" s="715">
        <v>0</v>
      </c>
      <c r="AE114" s="792">
        <f t="shared" si="110"/>
        <v>1</v>
      </c>
    </row>
    <row r="115" spans="1:31" ht="18" customHeight="1" x14ac:dyDescent="0.3">
      <c r="A115" s="679" t="s">
        <v>961</v>
      </c>
      <c r="B115" s="541">
        <f>SUM(B109:B114)</f>
        <v>454</v>
      </c>
      <c r="C115" s="541">
        <f>SUM(C109:C114)</f>
        <v>469</v>
      </c>
      <c r="D115" s="541">
        <f>SUM(D109:D114)</f>
        <v>505</v>
      </c>
      <c r="E115" s="541">
        <f>SUM(E109:E114)</f>
        <v>493</v>
      </c>
      <c r="F115" s="541">
        <f>SUM(F109:F114)</f>
        <v>498</v>
      </c>
      <c r="G115" s="706">
        <f t="shared" si="98"/>
        <v>483.8</v>
      </c>
      <c r="H115" s="541">
        <f>SUM(H109:H114)</f>
        <v>512</v>
      </c>
      <c r="I115" s="706">
        <f t="shared" si="99"/>
        <v>495.4</v>
      </c>
      <c r="J115" s="541">
        <f>SUM(J109:J114)</f>
        <v>503</v>
      </c>
      <c r="K115" s="706">
        <f t="shared" si="100"/>
        <v>502.2</v>
      </c>
      <c r="L115" s="541">
        <f>SUM(L109:L114)</f>
        <v>464</v>
      </c>
      <c r="M115" s="706">
        <f t="shared" si="101"/>
        <v>494</v>
      </c>
      <c r="N115" s="541">
        <f>SUM(N109:N114)</f>
        <v>461</v>
      </c>
      <c r="O115" s="785">
        <f t="shared" si="102"/>
        <v>487.6</v>
      </c>
      <c r="P115" s="715">
        <f>SUM(P109:P114)</f>
        <v>477</v>
      </c>
      <c r="Q115" s="792">
        <f t="shared" si="103"/>
        <v>483.4</v>
      </c>
      <c r="R115" s="715">
        <f>SUM(R109:R114)</f>
        <v>459</v>
      </c>
      <c r="S115" s="792">
        <f t="shared" si="104"/>
        <v>472.8</v>
      </c>
      <c r="T115" s="715">
        <f>SUM(T109:T114)</f>
        <v>407</v>
      </c>
      <c r="U115" s="792">
        <f t="shared" si="105"/>
        <v>453.6</v>
      </c>
      <c r="V115" s="715">
        <f>SUM(V109:V114)</f>
        <v>465</v>
      </c>
      <c r="W115" s="792">
        <f t="shared" si="106"/>
        <v>453.8</v>
      </c>
      <c r="X115" s="715">
        <f>SUM(X109:X114)</f>
        <v>509</v>
      </c>
      <c r="Y115" s="792">
        <f t="shared" si="107"/>
        <v>463.4</v>
      </c>
      <c r="Z115" s="715">
        <f>SUM(Z109:Z114)</f>
        <v>484</v>
      </c>
      <c r="AA115" s="792">
        <f t="shared" si="108"/>
        <v>464.8</v>
      </c>
      <c r="AB115" s="715">
        <f>SUM(AB109:AB114)</f>
        <v>464</v>
      </c>
      <c r="AC115" s="792">
        <f t="shared" si="109"/>
        <v>465.8</v>
      </c>
      <c r="AD115" s="715">
        <f>SUM(AD109:AD114)</f>
        <v>464</v>
      </c>
      <c r="AE115" s="792">
        <f t="shared" si="110"/>
        <v>477.2</v>
      </c>
    </row>
    <row r="116" spans="1:31" ht="18" customHeight="1" x14ac:dyDescent="0.3">
      <c r="A116" s="677" t="s">
        <v>421</v>
      </c>
      <c r="B116" s="704"/>
      <c r="C116" s="704"/>
      <c r="D116" s="704"/>
      <c r="E116" s="704"/>
      <c r="F116" s="537"/>
      <c r="G116" s="708"/>
      <c r="H116" s="537"/>
      <c r="I116" s="708"/>
      <c r="J116" s="537"/>
      <c r="K116" s="708"/>
      <c r="L116" s="537"/>
      <c r="M116" s="705"/>
      <c r="N116" s="537"/>
      <c r="O116" s="786"/>
      <c r="P116" s="552"/>
      <c r="Q116" s="552"/>
      <c r="R116" s="552"/>
      <c r="S116" s="552"/>
      <c r="T116" s="552"/>
      <c r="U116" s="552"/>
      <c r="V116" s="552"/>
      <c r="W116" s="552"/>
      <c r="X116" s="552"/>
      <c r="Y116" s="552"/>
      <c r="Z116" s="552"/>
      <c r="AA116" s="552"/>
      <c r="AB116" s="552"/>
      <c r="AC116" s="552"/>
      <c r="AD116" s="552"/>
      <c r="AE116" s="552"/>
    </row>
    <row r="117" spans="1:31" s="368" customFormat="1" ht="18" customHeight="1" x14ac:dyDescent="0.3">
      <c r="A117" s="834" t="s">
        <v>502</v>
      </c>
      <c r="B117" s="701">
        <v>0</v>
      </c>
      <c r="C117" s="701">
        <v>0</v>
      </c>
      <c r="D117" s="701">
        <v>0</v>
      </c>
      <c r="E117" s="701">
        <v>0</v>
      </c>
      <c r="F117" s="701">
        <v>0</v>
      </c>
      <c r="G117" s="706">
        <f t="shared" ref="G117:G131" si="111">AVERAGE(B117:F117)</f>
        <v>0</v>
      </c>
      <c r="H117" s="701">
        <v>0</v>
      </c>
      <c r="I117" s="706">
        <f t="shared" ref="I117:I131" si="112">(H117+F117+E117+D117+C117)/5</f>
        <v>0</v>
      </c>
      <c r="J117" s="701">
        <v>0</v>
      </c>
      <c r="K117" s="706">
        <f t="shared" ref="K117:K131" si="113">(J117+H117+F117+E117+D117)/5</f>
        <v>0</v>
      </c>
      <c r="L117" s="701">
        <v>0</v>
      </c>
      <c r="M117" s="706">
        <f t="shared" ref="M117:M131" si="114">(L117+J117+H117+F117+E117)/5</f>
        <v>0</v>
      </c>
      <c r="N117" s="701">
        <v>0</v>
      </c>
      <c r="O117" s="785">
        <f t="shared" ref="O117:O131" si="115">(+N117+L117+J117+H117+F117)/5</f>
        <v>0</v>
      </c>
      <c r="P117" s="719">
        <v>0</v>
      </c>
      <c r="Q117" s="792">
        <f t="shared" ref="Q117:Q131" si="116">(P117+N117+L117+J117+H117)/5</f>
        <v>0</v>
      </c>
      <c r="R117" s="719">
        <v>9</v>
      </c>
      <c r="S117" s="792">
        <f t="shared" ref="S117:S131" si="117">(R117+P117+N117+L117+J117)/5</f>
        <v>1.8</v>
      </c>
      <c r="T117" s="719">
        <v>9</v>
      </c>
      <c r="U117" s="792">
        <f>(T117+R117+P117+N117+L117)/5</f>
        <v>3.6</v>
      </c>
      <c r="V117" s="719">
        <v>14</v>
      </c>
      <c r="W117" s="792">
        <f>(V117+T117+R117+P117+N117)/5</f>
        <v>6.4</v>
      </c>
      <c r="X117" s="719">
        <v>14</v>
      </c>
      <c r="Y117" s="792">
        <f>(X117+V117+T117+R117+P117)/5</f>
        <v>9.1999999999999993</v>
      </c>
      <c r="Z117" s="719">
        <v>10</v>
      </c>
      <c r="AA117" s="792">
        <f>(Z117+X117+V117+T117+R117)/5</f>
        <v>11.2</v>
      </c>
      <c r="AB117" s="719">
        <v>9</v>
      </c>
      <c r="AC117" s="792">
        <f>(AB117+Z117+X117+V117+T117)/5</f>
        <v>11.2</v>
      </c>
      <c r="AD117" s="719">
        <v>5</v>
      </c>
      <c r="AE117" s="792">
        <f>(AD117+AB117+Z117+X117+V117)/5</f>
        <v>10.4</v>
      </c>
    </row>
    <row r="118" spans="1:31" s="368" customFormat="1" ht="18" customHeight="1" x14ac:dyDescent="0.3">
      <c r="A118" s="834" t="s">
        <v>582</v>
      </c>
      <c r="B118" s="701">
        <v>0</v>
      </c>
      <c r="C118" s="701">
        <v>0</v>
      </c>
      <c r="D118" s="701">
        <v>0</v>
      </c>
      <c r="E118" s="701">
        <v>0</v>
      </c>
      <c r="F118" s="701">
        <v>0</v>
      </c>
      <c r="G118" s="884">
        <f t="shared" si="111"/>
        <v>0</v>
      </c>
      <c r="H118" s="701">
        <v>0</v>
      </c>
      <c r="I118" s="884">
        <f t="shared" si="112"/>
        <v>0</v>
      </c>
      <c r="J118" s="701">
        <v>0</v>
      </c>
      <c r="K118" s="884">
        <f t="shared" si="113"/>
        <v>0</v>
      </c>
      <c r="L118" s="701">
        <v>0</v>
      </c>
      <c r="M118" s="884">
        <f t="shared" si="114"/>
        <v>0</v>
      </c>
      <c r="N118" s="701">
        <v>0</v>
      </c>
      <c r="O118" s="885">
        <f t="shared" si="115"/>
        <v>0</v>
      </c>
      <c r="P118" s="719">
        <v>0</v>
      </c>
      <c r="Q118" s="887">
        <f t="shared" si="116"/>
        <v>0</v>
      </c>
      <c r="R118" s="719">
        <v>0</v>
      </c>
      <c r="S118" s="887">
        <f t="shared" si="117"/>
        <v>0</v>
      </c>
      <c r="T118" s="719">
        <v>1</v>
      </c>
      <c r="U118" s="792">
        <f>(T118+R118+P118+N118+L118)/5</f>
        <v>0.2</v>
      </c>
      <c r="V118" s="719">
        <v>3</v>
      </c>
      <c r="W118" s="792">
        <f>(V118+T118+R118+P118+N118)/5</f>
        <v>0.8</v>
      </c>
      <c r="X118" s="719">
        <v>0</v>
      </c>
      <c r="Y118" s="792">
        <f>(X118+V118+T118+R118+P118)/5</f>
        <v>0.8</v>
      </c>
      <c r="Z118" s="719">
        <v>0</v>
      </c>
      <c r="AA118" s="792">
        <f>(Z118+X118+V118+T118+R118)/5</f>
        <v>0.8</v>
      </c>
      <c r="AB118" s="719">
        <v>0</v>
      </c>
      <c r="AC118" s="792">
        <f>(AB118+Z118+X118+V118+T118)/5</f>
        <v>0.8</v>
      </c>
      <c r="AD118" s="719">
        <v>0</v>
      </c>
      <c r="AE118" s="792">
        <f>(AD118+AB118+Z118+X118+V118)/5</f>
        <v>0.6</v>
      </c>
    </row>
    <row r="119" spans="1:31" ht="18" customHeight="1" x14ac:dyDescent="0.3">
      <c r="A119" s="678" t="s">
        <v>1077</v>
      </c>
      <c r="B119" s="541">
        <v>39</v>
      </c>
      <c r="C119" s="541">
        <v>38</v>
      </c>
      <c r="D119" s="541">
        <v>35</v>
      </c>
      <c r="E119" s="541">
        <v>51</v>
      </c>
      <c r="F119" s="541">
        <v>39</v>
      </c>
      <c r="G119" s="706">
        <f t="shared" si="111"/>
        <v>40.4</v>
      </c>
      <c r="H119" s="541">
        <f>33+12</f>
        <v>45</v>
      </c>
      <c r="I119" s="706">
        <f t="shared" si="112"/>
        <v>41.6</v>
      </c>
      <c r="J119" s="541">
        <v>34</v>
      </c>
      <c r="K119" s="706">
        <f t="shared" si="113"/>
        <v>40.799999999999997</v>
      </c>
      <c r="L119" s="541">
        <v>32</v>
      </c>
      <c r="M119" s="706">
        <f t="shared" si="114"/>
        <v>40.200000000000003</v>
      </c>
      <c r="N119" s="541">
        <v>32</v>
      </c>
      <c r="O119" s="785">
        <f t="shared" si="115"/>
        <v>36.4</v>
      </c>
      <c r="P119" s="715">
        <v>34</v>
      </c>
      <c r="Q119" s="792">
        <f t="shared" si="116"/>
        <v>35.4</v>
      </c>
      <c r="R119" s="715">
        <v>57</v>
      </c>
      <c r="S119" s="792">
        <f t="shared" si="117"/>
        <v>37.799999999999997</v>
      </c>
      <c r="T119" s="715">
        <v>62</v>
      </c>
      <c r="U119" s="792">
        <f t="shared" ref="U119:U131" si="118">(T119+R119+P119+N119+L119)/5</f>
        <v>43.4</v>
      </c>
      <c r="V119" s="715">
        <v>57</v>
      </c>
      <c r="W119" s="792">
        <f t="shared" ref="W119:W131" si="119">(V119+T119+R119+P119+N119)/5</f>
        <v>48.4</v>
      </c>
      <c r="X119" s="715">
        <v>47</v>
      </c>
      <c r="Y119" s="792">
        <f t="shared" ref="Y119:Y131" si="120">(X119+V119+T119+R119+P119)/5</f>
        <v>51.4</v>
      </c>
      <c r="Z119" s="715">
        <v>41</v>
      </c>
      <c r="AA119" s="792">
        <f t="shared" ref="AA119:AA131" si="121">(Z119+X119+V119+T119+R119)/5</f>
        <v>52.8</v>
      </c>
      <c r="AB119" s="715">
        <v>29</v>
      </c>
      <c r="AC119" s="792">
        <f t="shared" ref="AC119:AC131" si="122">(AB119+Z119+X119+V119+T119)/5</f>
        <v>47.2</v>
      </c>
      <c r="AD119" s="715">
        <v>27</v>
      </c>
      <c r="AE119" s="792">
        <f t="shared" ref="AE119:AE131" si="123">(AD119+AB119+Z119+X119+V119)/5</f>
        <v>40.200000000000003</v>
      </c>
    </row>
    <row r="120" spans="1:31" ht="18" customHeight="1" x14ac:dyDescent="0.3">
      <c r="A120" s="678" t="s">
        <v>1445</v>
      </c>
      <c r="B120" s="541">
        <v>0</v>
      </c>
      <c r="C120" s="541">
        <v>0</v>
      </c>
      <c r="D120" s="541">
        <v>0</v>
      </c>
      <c r="E120" s="541">
        <v>0</v>
      </c>
      <c r="F120" s="541">
        <v>0</v>
      </c>
      <c r="G120" s="706">
        <f t="shared" si="111"/>
        <v>0</v>
      </c>
      <c r="H120" s="541">
        <v>0</v>
      </c>
      <c r="I120" s="706">
        <f t="shared" si="112"/>
        <v>0</v>
      </c>
      <c r="J120" s="541">
        <v>0</v>
      </c>
      <c r="K120" s="706">
        <f t="shared" si="113"/>
        <v>0</v>
      </c>
      <c r="L120" s="541">
        <v>0</v>
      </c>
      <c r="M120" s="706">
        <f t="shared" si="114"/>
        <v>0</v>
      </c>
      <c r="N120" s="541">
        <v>0</v>
      </c>
      <c r="O120" s="706">
        <f>(N120+L120+J120+H120+G120)/5</f>
        <v>0</v>
      </c>
      <c r="P120" s="541">
        <v>0</v>
      </c>
      <c r="Q120" s="706">
        <f>(P120+N120+L120+J120+I120)/5</f>
        <v>0</v>
      </c>
      <c r="R120" s="541">
        <v>0</v>
      </c>
      <c r="S120" s="706">
        <f>(R120+P120+N120+L120+K120)/5</f>
        <v>0</v>
      </c>
      <c r="T120" s="541">
        <v>0</v>
      </c>
      <c r="U120" s="706">
        <f>(T120+R120+P120+N120+M120)/5</f>
        <v>0</v>
      </c>
      <c r="V120" s="541">
        <v>0</v>
      </c>
      <c r="W120" s="706">
        <f>(V120+T120+R120+P120+O120)/5</f>
        <v>0</v>
      </c>
      <c r="X120" s="715">
        <v>1</v>
      </c>
      <c r="Y120" s="792">
        <f t="shared" si="120"/>
        <v>0.2</v>
      </c>
      <c r="Z120" s="715">
        <v>0</v>
      </c>
      <c r="AA120" s="792">
        <f t="shared" si="121"/>
        <v>0.2</v>
      </c>
      <c r="AB120" s="715">
        <v>0</v>
      </c>
      <c r="AC120" s="792">
        <f t="shared" si="122"/>
        <v>0.2</v>
      </c>
      <c r="AD120" s="715">
        <v>0</v>
      </c>
      <c r="AE120" s="792">
        <f t="shared" si="123"/>
        <v>0.2</v>
      </c>
    </row>
    <row r="121" spans="1:31" ht="18" customHeight="1" x14ac:dyDescent="0.3">
      <c r="A121" s="678" t="s">
        <v>719</v>
      </c>
      <c r="B121" s="541">
        <v>0</v>
      </c>
      <c r="C121" s="541">
        <v>0</v>
      </c>
      <c r="D121" s="541">
        <v>0</v>
      </c>
      <c r="E121" s="541">
        <v>0</v>
      </c>
      <c r="F121" s="541">
        <v>0</v>
      </c>
      <c r="G121" s="706">
        <f t="shared" si="111"/>
        <v>0</v>
      </c>
      <c r="H121" s="541">
        <v>20</v>
      </c>
      <c r="I121" s="706">
        <f t="shared" si="112"/>
        <v>4</v>
      </c>
      <c r="J121" s="541">
        <v>24</v>
      </c>
      <c r="K121" s="706">
        <f t="shared" si="113"/>
        <v>8.8000000000000007</v>
      </c>
      <c r="L121" s="541">
        <v>25</v>
      </c>
      <c r="M121" s="706">
        <f t="shared" si="114"/>
        <v>13.8</v>
      </c>
      <c r="N121" s="541">
        <v>21</v>
      </c>
      <c r="O121" s="785">
        <f t="shared" si="115"/>
        <v>18</v>
      </c>
      <c r="P121" s="715">
        <v>18</v>
      </c>
      <c r="Q121" s="792">
        <f t="shared" si="116"/>
        <v>21.6</v>
      </c>
      <c r="R121" s="715">
        <v>3</v>
      </c>
      <c r="S121" s="792">
        <f t="shared" si="117"/>
        <v>18.2</v>
      </c>
      <c r="T121" s="715">
        <v>6</v>
      </c>
      <c r="U121" s="792">
        <f t="shared" si="118"/>
        <v>14.6</v>
      </c>
      <c r="V121" s="715">
        <v>2</v>
      </c>
      <c r="W121" s="792">
        <f t="shared" si="119"/>
        <v>10</v>
      </c>
      <c r="X121" s="715">
        <v>1</v>
      </c>
      <c r="Y121" s="792">
        <f t="shared" si="120"/>
        <v>6</v>
      </c>
      <c r="Z121" s="715">
        <v>0</v>
      </c>
      <c r="AA121" s="792">
        <f t="shared" si="121"/>
        <v>2.4</v>
      </c>
      <c r="AB121" s="715">
        <v>0</v>
      </c>
      <c r="AC121" s="792">
        <f t="shared" si="122"/>
        <v>1.8</v>
      </c>
      <c r="AD121" s="715">
        <v>0</v>
      </c>
      <c r="AE121" s="792">
        <f t="shared" si="123"/>
        <v>0.6</v>
      </c>
    </row>
    <row r="122" spans="1:31" ht="18" customHeight="1" x14ac:dyDescent="0.3">
      <c r="A122" s="678" t="s">
        <v>386</v>
      </c>
      <c r="B122" s="541">
        <v>0</v>
      </c>
      <c r="C122" s="541">
        <v>0</v>
      </c>
      <c r="D122" s="541">
        <v>0</v>
      </c>
      <c r="E122" s="541">
        <v>0</v>
      </c>
      <c r="F122" s="541">
        <v>0</v>
      </c>
      <c r="G122" s="706">
        <f t="shared" si="111"/>
        <v>0</v>
      </c>
      <c r="H122" s="541">
        <v>0</v>
      </c>
      <c r="I122" s="706">
        <f t="shared" si="112"/>
        <v>0</v>
      </c>
      <c r="J122" s="541">
        <f>4+1+2</f>
        <v>7</v>
      </c>
      <c r="K122" s="706">
        <f t="shared" si="113"/>
        <v>1.4</v>
      </c>
      <c r="L122" s="541">
        <v>11</v>
      </c>
      <c r="M122" s="706">
        <f t="shared" si="114"/>
        <v>3.6</v>
      </c>
      <c r="N122" s="541">
        <v>13</v>
      </c>
      <c r="O122" s="785">
        <f t="shared" si="115"/>
        <v>6.2</v>
      </c>
      <c r="P122" s="715">
        <v>18</v>
      </c>
      <c r="Q122" s="792">
        <f t="shared" si="116"/>
        <v>9.8000000000000007</v>
      </c>
      <c r="R122" s="715">
        <v>13</v>
      </c>
      <c r="S122" s="792">
        <f t="shared" si="117"/>
        <v>12.4</v>
      </c>
      <c r="T122" s="715">
        <v>7</v>
      </c>
      <c r="U122" s="792">
        <f t="shared" si="118"/>
        <v>12.4</v>
      </c>
      <c r="V122" s="715">
        <v>8</v>
      </c>
      <c r="W122" s="792">
        <f t="shared" si="119"/>
        <v>11.8</v>
      </c>
      <c r="X122" s="715">
        <v>0</v>
      </c>
      <c r="Y122" s="792">
        <f t="shared" si="120"/>
        <v>9.1999999999999993</v>
      </c>
      <c r="Z122" s="715">
        <v>0</v>
      </c>
      <c r="AA122" s="792">
        <f t="shared" si="121"/>
        <v>5.6</v>
      </c>
      <c r="AB122" s="715">
        <v>0</v>
      </c>
      <c r="AC122" s="792">
        <f t="shared" si="122"/>
        <v>3</v>
      </c>
      <c r="AD122" s="715">
        <v>0</v>
      </c>
      <c r="AE122" s="792">
        <f t="shared" si="123"/>
        <v>1.6</v>
      </c>
    </row>
    <row r="123" spans="1:31" ht="18" customHeight="1" x14ac:dyDescent="0.3">
      <c r="A123" s="678" t="s">
        <v>732</v>
      </c>
      <c r="B123" s="541">
        <v>0</v>
      </c>
      <c r="C123" s="541">
        <v>0</v>
      </c>
      <c r="D123" s="541">
        <v>0</v>
      </c>
      <c r="E123" s="541">
        <v>0</v>
      </c>
      <c r="F123" s="541">
        <v>0</v>
      </c>
      <c r="G123" s="706">
        <f t="shared" si="111"/>
        <v>0</v>
      </c>
      <c r="H123" s="541">
        <v>0</v>
      </c>
      <c r="I123" s="706">
        <f t="shared" si="112"/>
        <v>0</v>
      </c>
      <c r="J123" s="541">
        <v>7</v>
      </c>
      <c r="K123" s="706">
        <f t="shared" si="113"/>
        <v>1.4</v>
      </c>
      <c r="L123" s="541">
        <v>7</v>
      </c>
      <c r="M123" s="706">
        <f t="shared" si="114"/>
        <v>2.8</v>
      </c>
      <c r="N123" s="541">
        <v>9</v>
      </c>
      <c r="O123" s="785">
        <f t="shared" si="115"/>
        <v>4.5999999999999996</v>
      </c>
      <c r="P123" s="715">
        <v>8</v>
      </c>
      <c r="Q123" s="792">
        <f t="shared" si="116"/>
        <v>6.2</v>
      </c>
      <c r="R123" s="715">
        <v>6</v>
      </c>
      <c r="S123" s="792">
        <f t="shared" si="117"/>
        <v>7.4</v>
      </c>
      <c r="T123" s="715">
        <v>4</v>
      </c>
      <c r="U123" s="792">
        <f t="shared" si="118"/>
        <v>6.8</v>
      </c>
      <c r="V123" s="715">
        <v>9</v>
      </c>
      <c r="W123" s="792">
        <f t="shared" si="119"/>
        <v>7.2</v>
      </c>
      <c r="X123" s="715">
        <v>9</v>
      </c>
      <c r="Y123" s="792">
        <f t="shared" si="120"/>
        <v>7.2</v>
      </c>
      <c r="Z123" s="715">
        <v>9</v>
      </c>
      <c r="AA123" s="792">
        <f t="shared" si="121"/>
        <v>7.4</v>
      </c>
      <c r="AB123" s="715">
        <v>7</v>
      </c>
      <c r="AC123" s="792">
        <f t="shared" si="122"/>
        <v>7.6</v>
      </c>
      <c r="AD123" s="715">
        <v>8</v>
      </c>
      <c r="AE123" s="792">
        <f t="shared" si="123"/>
        <v>8.4</v>
      </c>
    </row>
    <row r="124" spans="1:31" ht="18" customHeight="1" x14ac:dyDescent="0.3">
      <c r="A124" s="678" t="s">
        <v>387</v>
      </c>
      <c r="B124" s="541">
        <v>0</v>
      </c>
      <c r="C124" s="541">
        <v>0</v>
      </c>
      <c r="D124" s="541">
        <v>0</v>
      </c>
      <c r="E124" s="541">
        <v>0</v>
      </c>
      <c r="F124" s="541">
        <v>0</v>
      </c>
      <c r="G124" s="706">
        <f t="shared" si="111"/>
        <v>0</v>
      </c>
      <c r="H124" s="541">
        <v>0</v>
      </c>
      <c r="I124" s="706">
        <f t="shared" si="112"/>
        <v>0</v>
      </c>
      <c r="J124" s="541">
        <v>6</v>
      </c>
      <c r="K124" s="706">
        <f t="shared" si="113"/>
        <v>1.2</v>
      </c>
      <c r="L124" s="541">
        <v>8</v>
      </c>
      <c r="M124" s="706">
        <f t="shared" si="114"/>
        <v>2.8</v>
      </c>
      <c r="N124" s="541">
        <v>3</v>
      </c>
      <c r="O124" s="785">
        <f t="shared" si="115"/>
        <v>3.4</v>
      </c>
      <c r="P124" s="715">
        <v>0</v>
      </c>
      <c r="Q124" s="792">
        <f t="shared" si="116"/>
        <v>3.4</v>
      </c>
      <c r="R124" s="715">
        <v>6</v>
      </c>
      <c r="S124" s="792">
        <f t="shared" si="117"/>
        <v>4.5999999999999996</v>
      </c>
      <c r="T124" s="715">
        <v>7</v>
      </c>
      <c r="U124" s="792">
        <f t="shared" si="118"/>
        <v>4.8</v>
      </c>
      <c r="V124" s="715">
        <v>2</v>
      </c>
      <c r="W124" s="792">
        <f t="shared" si="119"/>
        <v>3.6</v>
      </c>
      <c r="X124" s="715">
        <v>7</v>
      </c>
      <c r="Y124" s="792">
        <f t="shared" si="120"/>
        <v>4.4000000000000004</v>
      </c>
      <c r="Z124" s="715">
        <v>4</v>
      </c>
      <c r="AA124" s="792">
        <f t="shared" si="121"/>
        <v>5.2</v>
      </c>
      <c r="AB124" s="715">
        <v>0</v>
      </c>
      <c r="AC124" s="792">
        <f t="shared" si="122"/>
        <v>4</v>
      </c>
      <c r="AD124" s="715">
        <v>0</v>
      </c>
      <c r="AE124" s="792">
        <f t="shared" si="123"/>
        <v>2.6</v>
      </c>
    </row>
    <row r="125" spans="1:31" ht="18" customHeight="1" x14ac:dyDescent="0.3">
      <c r="A125" s="678" t="s">
        <v>1078</v>
      </c>
      <c r="B125" s="541">
        <v>5</v>
      </c>
      <c r="C125" s="541">
        <v>6</v>
      </c>
      <c r="D125" s="541">
        <v>3</v>
      </c>
      <c r="E125" s="541">
        <v>4</v>
      </c>
      <c r="F125" s="541">
        <v>14</v>
      </c>
      <c r="G125" s="706">
        <f t="shared" si="111"/>
        <v>6.4</v>
      </c>
      <c r="H125" s="541">
        <v>0</v>
      </c>
      <c r="I125" s="706">
        <f t="shared" si="112"/>
        <v>5.4</v>
      </c>
      <c r="J125" s="541">
        <v>0</v>
      </c>
      <c r="K125" s="706">
        <f t="shared" si="113"/>
        <v>4.2</v>
      </c>
      <c r="L125" s="541">
        <v>0</v>
      </c>
      <c r="M125" s="706">
        <f t="shared" si="114"/>
        <v>3.6</v>
      </c>
      <c r="N125" s="541">
        <v>0</v>
      </c>
      <c r="O125" s="785">
        <f t="shared" si="115"/>
        <v>2.8</v>
      </c>
      <c r="P125" s="715">
        <v>0</v>
      </c>
      <c r="Q125" s="792">
        <f t="shared" si="116"/>
        <v>0</v>
      </c>
      <c r="R125" s="715">
        <v>0</v>
      </c>
      <c r="S125" s="792">
        <f t="shared" si="117"/>
        <v>0</v>
      </c>
      <c r="T125" s="715">
        <v>0</v>
      </c>
      <c r="U125" s="792">
        <f t="shared" si="118"/>
        <v>0</v>
      </c>
      <c r="V125" s="715">
        <v>0</v>
      </c>
      <c r="W125" s="792">
        <f t="shared" si="119"/>
        <v>0</v>
      </c>
      <c r="X125" s="715">
        <v>0</v>
      </c>
      <c r="Y125" s="792">
        <f t="shared" si="120"/>
        <v>0</v>
      </c>
      <c r="Z125" s="715">
        <v>0</v>
      </c>
      <c r="AA125" s="792">
        <f t="shared" si="121"/>
        <v>0</v>
      </c>
      <c r="AB125" s="715">
        <v>0</v>
      </c>
      <c r="AC125" s="792">
        <f t="shared" si="122"/>
        <v>0</v>
      </c>
      <c r="AD125" s="715">
        <v>0</v>
      </c>
      <c r="AE125" s="792">
        <f t="shared" si="123"/>
        <v>0</v>
      </c>
    </row>
    <row r="126" spans="1:31" ht="18" customHeight="1" x14ac:dyDescent="0.3">
      <c r="A126" s="678" t="s">
        <v>1053</v>
      </c>
      <c r="B126" s="541">
        <v>53</v>
      </c>
      <c r="C126" s="541">
        <v>45</v>
      </c>
      <c r="D126" s="541">
        <v>43</v>
      </c>
      <c r="E126" s="541">
        <v>26</v>
      </c>
      <c r="F126" s="541">
        <v>28</v>
      </c>
      <c r="G126" s="706">
        <f t="shared" si="111"/>
        <v>39</v>
      </c>
      <c r="H126" s="541">
        <v>34</v>
      </c>
      <c r="I126" s="706">
        <f t="shared" si="112"/>
        <v>35.200000000000003</v>
      </c>
      <c r="J126" s="541">
        <v>40</v>
      </c>
      <c r="K126" s="706">
        <f t="shared" si="113"/>
        <v>34.200000000000003</v>
      </c>
      <c r="L126" s="541">
        <v>46</v>
      </c>
      <c r="M126" s="706">
        <f t="shared" si="114"/>
        <v>34.799999999999997</v>
      </c>
      <c r="N126" s="541">
        <v>50</v>
      </c>
      <c r="O126" s="785">
        <f t="shared" si="115"/>
        <v>39.6</v>
      </c>
      <c r="P126" s="715">
        <v>48</v>
      </c>
      <c r="Q126" s="792">
        <f t="shared" si="116"/>
        <v>43.6</v>
      </c>
      <c r="R126" s="715">
        <v>53</v>
      </c>
      <c r="S126" s="792">
        <f t="shared" si="117"/>
        <v>47.4</v>
      </c>
      <c r="T126" s="715">
        <v>49</v>
      </c>
      <c r="U126" s="792">
        <f t="shared" si="118"/>
        <v>49.2</v>
      </c>
      <c r="V126" s="715">
        <v>48</v>
      </c>
      <c r="W126" s="792">
        <f t="shared" si="119"/>
        <v>49.6</v>
      </c>
      <c r="X126" s="715">
        <v>37</v>
      </c>
      <c r="Y126" s="792">
        <f t="shared" si="120"/>
        <v>47</v>
      </c>
      <c r="Z126" s="715">
        <v>54</v>
      </c>
      <c r="AA126" s="792">
        <f t="shared" si="121"/>
        <v>48.2</v>
      </c>
      <c r="AB126" s="715">
        <v>54</v>
      </c>
      <c r="AC126" s="792">
        <f t="shared" si="122"/>
        <v>48.4</v>
      </c>
      <c r="AD126" s="715">
        <v>58</v>
      </c>
      <c r="AE126" s="792">
        <f t="shared" si="123"/>
        <v>50.2</v>
      </c>
    </row>
    <row r="127" spans="1:31" ht="18" customHeight="1" x14ac:dyDescent="0.3">
      <c r="A127" s="678" t="s">
        <v>388</v>
      </c>
      <c r="B127" s="541">
        <v>0</v>
      </c>
      <c r="C127" s="541">
        <v>0</v>
      </c>
      <c r="D127" s="541">
        <v>1</v>
      </c>
      <c r="E127" s="541">
        <v>2</v>
      </c>
      <c r="F127" s="541">
        <v>3</v>
      </c>
      <c r="G127" s="706">
        <f t="shared" si="111"/>
        <v>1.2</v>
      </c>
      <c r="H127" s="541">
        <v>3</v>
      </c>
      <c r="I127" s="706">
        <f t="shared" si="112"/>
        <v>1.8</v>
      </c>
      <c r="J127" s="541">
        <v>4</v>
      </c>
      <c r="K127" s="706">
        <f t="shared" si="113"/>
        <v>2.6</v>
      </c>
      <c r="L127" s="541">
        <v>3</v>
      </c>
      <c r="M127" s="706">
        <f t="shared" si="114"/>
        <v>3</v>
      </c>
      <c r="N127" s="541">
        <v>5</v>
      </c>
      <c r="O127" s="785">
        <f t="shared" si="115"/>
        <v>3.6</v>
      </c>
      <c r="P127" s="715">
        <v>8</v>
      </c>
      <c r="Q127" s="792">
        <f t="shared" si="116"/>
        <v>4.5999999999999996</v>
      </c>
      <c r="R127" s="715">
        <v>7</v>
      </c>
      <c r="S127" s="792">
        <f t="shared" si="117"/>
        <v>5.4</v>
      </c>
      <c r="T127" s="715">
        <v>4</v>
      </c>
      <c r="U127" s="792">
        <f t="shared" si="118"/>
        <v>5.4</v>
      </c>
      <c r="V127" s="715">
        <v>5</v>
      </c>
      <c r="W127" s="792">
        <f t="shared" si="119"/>
        <v>5.8</v>
      </c>
      <c r="X127" s="715">
        <v>4</v>
      </c>
      <c r="Y127" s="792">
        <f t="shared" si="120"/>
        <v>5.6</v>
      </c>
      <c r="Z127" s="715">
        <v>2</v>
      </c>
      <c r="AA127" s="792">
        <f t="shared" si="121"/>
        <v>4.4000000000000004</v>
      </c>
      <c r="AB127" s="715">
        <v>0</v>
      </c>
      <c r="AC127" s="792">
        <f t="shared" si="122"/>
        <v>3</v>
      </c>
      <c r="AD127" s="715">
        <v>0</v>
      </c>
      <c r="AE127" s="792">
        <f t="shared" si="123"/>
        <v>2.2000000000000002</v>
      </c>
    </row>
    <row r="128" spans="1:31" ht="18" customHeight="1" x14ac:dyDescent="0.3">
      <c r="A128" s="678" t="s">
        <v>1055</v>
      </c>
      <c r="B128" s="541">
        <v>80</v>
      </c>
      <c r="C128" s="541">
        <v>75</v>
      </c>
      <c r="D128" s="541">
        <v>72</v>
      </c>
      <c r="E128" s="541">
        <v>60</v>
      </c>
      <c r="F128" s="541">
        <v>54</v>
      </c>
      <c r="G128" s="706">
        <f t="shared" si="111"/>
        <v>68.2</v>
      </c>
      <c r="H128" s="541">
        <v>55</v>
      </c>
      <c r="I128" s="706">
        <f t="shared" si="112"/>
        <v>63.2</v>
      </c>
      <c r="J128" s="541">
        <v>58</v>
      </c>
      <c r="K128" s="706">
        <f t="shared" si="113"/>
        <v>59.8</v>
      </c>
      <c r="L128" s="541">
        <v>47</v>
      </c>
      <c r="M128" s="706">
        <f t="shared" si="114"/>
        <v>54.8</v>
      </c>
      <c r="N128" s="541">
        <v>54</v>
      </c>
      <c r="O128" s="785">
        <f t="shared" si="115"/>
        <v>53.6</v>
      </c>
      <c r="P128" s="715">
        <v>39</v>
      </c>
      <c r="Q128" s="792">
        <f t="shared" si="116"/>
        <v>50.6</v>
      </c>
      <c r="R128" s="715">
        <v>53</v>
      </c>
      <c r="S128" s="792">
        <f t="shared" si="117"/>
        <v>50.2</v>
      </c>
      <c r="T128" s="715">
        <v>49</v>
      </c>
      <c r="U128" s="792">
        <f t="shared" si="118"/>
        <v>48.4</v>
      </c>
      <c r="V128" s="715">
        <v>63</v>
      </c>
      <c r="W128" s="792">
        <f t="shared" si="119"/>
        <v>51.6</v>
      </c>
      <c r="X128" s="715">
        <v>59</v>
      </c>
      <c r="Y128" s="792">
        <f t="shared" si="120"/>
        <v>52.6</v>
      </c>
      <c r="Z128" s="715">
        <v>70</v>
      </c>
      <c r="AA128" s="792">
        <f t="shared" si="121"/>
        <v>58.8</v>
      </c>
      <c r="AB128" s="715">
        <v>79</v>
      </c>
      <c r="AC128" s="792">
        <f t="shared" si="122"/>
        <v>64</v>
      </c>
      <c r="AD128" s="715">
        <v>86</v>
      </c>
      <c r="AE128" s="792">
        <f t="shared" si="123"/>
        <v>71.400000000000006</v>
      </c>
    </row>
    <row r="129" spans="1:31" ht="18" customHeight="1" x14ac:dyDescent="0.3">
      <c r="A129" s="678" t="s">
        <v>390</v>
      </c>
      <c r="B129" s="541">
        <v>15</v>
      </c>
      <c r="C129" s="541">
        <v>14</v>
      </c>
      <c r="D129" s="541">
        <v>14</v>
      </c>
      <c r="E129" s="541">
        <v>10</v>
      </c>
      <c r="F129" s="541">
        <v>5</v>
      </c>
      <c r="G129" s="706">
        <f t="shared" si="111"/>
        <v>11.6</v>
      </c>
      <c r="H129" s="541">
        <v>3</v>
      </c>
      <c r="I129" s="706">
        <f t="shared" si="112"/>
        <v>9.1999999999999993</v>
      </c>
      <c r="J129" s="541">
        <v>8</v>
      </c>
      <c r="K129" s="706">
        <f t="shared" si="113"/>
        <v>8</v>
      </c>
      <c r="L129" s="541">
        <v>9</v>
      </c>
      <c r="M129" s="706">
        <f t="shared" si="114"/>
        <v>7</v>
      </c>
      <c r="N129" s="541">
        <v>7</v>
      </c>
      <c r="O129" s="785">
        <f t="shared" si="115"/>
        <v>6.4</v>
      </c>
      <c r="P129" s="715">
        <v>6</v>
      </c>
      <c r="Q129" s="792">
        <f t="shared" si="116"/>
        <v>6.6</v>
      </c>
      <c r="R129" s="715">
        <v>11</v>
      </c>
      <c r="S129" s="792">
        <f t="shared" si="117"/>
        <v>8.1999999999999993</v>
      </c>
      <c r="T129" s="715">
        <v>6</v>
      </c>
      <c r="U129" s="792">
        <f t="shared" si="118"/>
        <v>7.8</v>
      </c>
      <c r="V129" s="715">
        <v>5</v>
      </c>
      <c r="W129" s="792">
        <f t="shared" si="119"/>
        <v>7</v>
      </c>
      <c r="X129" s="715">
        <v>3</v>
      </c>
      <c r="Y129" s="792">
        <f t="shared" si="120"/>
        <v>6.2</v>
      </c>
      <c r="Z129" s="715">
        <v>2</v>
      </c>
      <c r="AA129" s="792">
        <f t="shared" si="121"/>
        <v>5.4</v>
      </c>
      <c r="AB129" s="715">
        <v>1</v>
      </c>
      <c r="AC129" s="792">
        <f t="shared" si="122"/>
        <v>3.4</v>
      </c>
      <c r="AD129" s="715">
        <v>0</v>
      </c>
      <c r="AE129" s="792">
        <f t="shared" si="123"/>
        <v>2.2000000000000002</v>
      </c>
    </row>
    <row r="130" spans="1:31" ht="18" customHeight="1" x14ac:dyDescent="0.3">
      <c r="A130" s="679" t="s">
        <v>961</v>
      </c>
      <c r="B130" s="541">
        <f>SUM(B117:B129)</f>
        <v>192</v>
      </c>
      <c r="C130" s="541">
        <f>SUM(C117:C129)</f>
        <v>178</v>
      </c>
      <c r="D130" s="541">
        <f>SUM(D117:D129)</f>
        <v>168</v>
      </c>
      <c r="E130" s="541">
        <f>SUM(E117:E129)</f>
        <v>153</v>
      </c>
      <c r="F130" s="541">
        <f>SUM(F117:F129)</f>
        <v>143</v>
      </c>
      <c r="G130" s="706">
        <f t="shared" si="111"/>
        <v>166.8</v>
      </c>
      <c r="H130" s="541">
        <f>SUM(H117:H129)</f>
        <v>160</v>
      </c>
      <c r="I130" s="706">
        <f t="shared" si="112"/>
        <v>160.4</v>
      </c>
      <c r="J130" s="541">
        <f>SUM(J117:J129)</f>
        <v>188</v>
      </c>
      <c r="K130" s="706">
        <f t="shared" si="113"/>
        <v>162.4</v>
      </c>
      <c r="L130" s="541">
        <f>SUM(L117:L129)</f>
        <v>188</v>
      </c>
      <c r="M130" s="706">
        <f t="shared" si="114"/>
        <v>166.4</v>
      </c>
      <c r="N130" s="541">
        <f>SUM(N117:N129)</f>
        <v>194</v>
      </c>
      <c r="O130" s="785">
        <f t="shared" si="115"/>
        <v>174.6</v>
      </c>
      <c r="P130" s="541">
        <f>SUM(P117:P129)</f>
        <v>179</v>
      </c>
      <c r="Q130" s="792">
        <f t="shared" si="116"/>
        <v>181.8</v>
      </c>
      <c r="R130" s="541">
        <f>SUM(R117:R129)</f>
        <v>218</v>
      </c>
      <c r="S130" s="792">
        <f t="shared" si="117"/>
        <v>193.4</v>
      </c>
      <c r="T130" s="541">
        <f>SUM(T117:T129)</f>
        <v>204</v>
      </c>
      <c r="U130" s="792">
        <f t="shared" si="118"/>
        <v>196.6</v>
      </c>
      <c r="V130" s="541">
        <f>SUM(V117:V129)</f>
        <v>216</v>
      </c>
      <c r="W130" s="792">
        <f t="shared" si="119"/>
        <v>202.2</v>
      </c>
      <c r="X130" s="541">
        <f>SUM(X117:X129)</f>
        <v>182</v>
      </c>
      <c r="Y130" s="792">
        <f t="shared" si="120"/>
        <v>199.8</v>
      </c>
      <c r="Z130" s="541">
        <f>SUM(Z117:Z129)</f>
        <v>192</v>
      </c>
      <c r="AA130" s="792">
        <f t="shared" si="121"/>
        <v>202.4</v>
      </c>
      <c r="AB130" s="541">
        <f>SUM(AB117:AB129)</f>
        <v>179</v>
      </c>
      <c r="AC130" s="792">
        <f t="shared" si="122"/>
        <v>194.6</v>
      </c>
      <c r="AD130" s="541">
        <f>SUM(AD117:AD129)</f>
        <v>184</v>
      </c>
      <c r="AE130" s="792">
        <f t="shared" si="123"/>
        <v>190.6</v>
      </c>
    </row>
    <row r="131" spans="1:31" ht="18" customHeight="1" thickBot="1" x14ac:dyDescent="0.35">
      <c r="A131" s="689" t="s">
        <v>422</v>
      </c>
      <c r="B131" s="690">
        <f>+B130+B115</f>
        <v>646</v>
      </c>
      <c r="C131" s="690">
        <f>+C130+C115</f>
        <v>647</v>
      </c>
      <c r="D131" s="690">
        <f>+D130+D115</f>
        <v>673</v>
      </c>
      <c r="E131" s="690">
        <f>+E130+E115</f>
        <v>646</v>
      </c>
      <c r="F131" s="690">
        <f>+F130+F115</f>
        <v>641</v>
      </c>
      <c r="G131" s="709">
        <f t="shared" si="111"/>
        <v>650.6</v>
      </c>
      <c r="H131" s="690">
        <f>+H130+H115</f>
        <v>672</v>
      </c>
      <c r="I131" s="709">
        <f t="shared" si="112"/>
        <v>655.8</v>
      </c>
      <c r="J131" s="690">
        <f>+J130+J115</f>
        <v>691</v>
      </c>
      <c r="K131" s="709">
        <f t="shared" si="113"/>
        <v>664.6</v>
      </c>
      <c r="L131" s="690">
        <f>+L130+L115</f>
        <v>652</v>
      </c>
      <c r="M131" s="709">
        <f t="shared" si="114"/>
        <v>660.4</v>
      </c>
      <c r="N131" s="690">
        <f>+N130+N115</f>
        <v>655</v>
      </c>
      <c r="O131" s="788">
        <f t="shared" si="115"/>
        <v>662.2</v>
      </c>
      <c r="P131" s="722">
        <f>+P130+P115</f>
        <v>656</v>
      </c>
      <c r="Q131" s="794">
        <f t="shared" si="116"/>
        <v>665.2</v>
      </c>
      <c r="R131" s="722">
        <f>+R130+R115</f>
        <v>677</v>
      </c>
      <c r="S131" s="794">
        <f t="shared" si="117"/>
        <v>666.2</v>
      </c>
      <c r="T131" s="722">
        <f>+T130+T115</f>
        <v>611</v>
      </c>
      <c r="U131" s="794">
        <f t="shared" si="118"/>
        <v>650.20000000000005</v>
      </c>
      <c r="V131" s="722">
        <f>+V130+V115</f>
        <v>681</v>
      </c>
      <c r="W131" s="794">
        <f t="shared" si="119"/>
        <v>656</v>
      </c>
      <c r="X131" s="722">
        <f>+X130+X115</f>
        <v>691</v>
      </c>
      <c r="Y131" s="794">
        <f t="shared" si="120"/>
        <v>663.2</v>
      </c>
      <c r="Z131" s="722">
        <f>+Z130+Z115</f>
        <v>676</v>
      </c>
      <c r="AA131" s="794">
        <f t="shared" si="121"/>
        <v>667.2</v>
      </c>
      <c r="AB131" s="722">
        <f>+AB130+AB115</f>
        <v>643</v>
      </c>
      <c r="AC131" s="794">
        <f t="shared" si="122"/>
        <v>660.4</v>
      </c>
      <c r="AD131" s="722">
        <f>+AD130+AD115</f>
        <v>648</v>
      </c>
      <c r="AE131" s="794">
        <f t="shared" si="123"/>
        <v>667.8</v>
      </c>
    </row>
    <row r="132" spans="1:31" ht="18" customHeight="1" x14ac:dyDescent="0.3">
      <c r="A132" s="677" t="s">
        <v>930</v>
      </c>
      <c r="B132" s="704"/>
      <c r="C132" s="704"/>
      <c r="D132" s="704"/>
      <c r="E132" s="704"/>
      <c r="F132" s="537"/>
      <c r="G132" s="708"/>
      <c r="H132" s="537"/>
      <c r="I132" s="708"/>
      <c r="J132" s="537"/>
      <c r="K132" s="708"/>
      <c r="L132" s="537"/>
      <c r="M132" s="705"/>
      <c r="N132" s="537"/>
      <c r="O132" s="786"/>
      <c r="P132" s="793"/>
      <c r="Q132" s="793"/>
      <c r="R132" s="793"/>
      <c r="S132" s="793"/>
      <c r="T132" s="793"/>
      <c r="U132" s="793"/>
      <c r="V132" s="793"/>
      <c r="W132" s="793"/>
      <c r="X132" s="793"/>
      <c r="Y132" s="793"/>
      <c r="Z132" s="793"/>
      <c r="AA132" s="793"/>
      <c r="AB132" s="793"/>
      <c r="AC132" s="793"/>
      <c r="AD132" s="793"/>
      <c r="AE132" s="793"/>
    </row>
    <row r="133" spans="1:31" ht="18" customHeight="1" x14ac:dyDescent="0.3">
      <c r="A133" s="678" t="s">
        <v>1091</v>
      </c>
      <c r="B133" s="541">
        <v>345</v>
      </c>
      <c r="C133" s="541">
        <v>318</v>
      </c>
      <c r="D133" s="541">
        <v>340</v>
      </c>
      <c r="E133" s="541">
        <v>385</v>
      </c>
      <c r="F133" s="541">
        <v>357</v>
      </c>
      <c r="G133" s="706">
        <f t="shared" ref="G133:G138" si="124">AVERAGE(B133:F133)</f>
        <v>349</v>
      </c>
      <c r="H133" s="541">
        <v>338</v>
      </c>
      <c r="I133" s="706">
        <f t="shared" ref="I133:I138" si="125">(H133+F133+E133+D133+C133)/5</f>
        <v>347.6</v>
      </c>
      <c r="J133" s="541">
        <v>354</v>
      </c>
      <c r="K133" s="706">
        <f t="shared" ref="K133:K138" si="126">(J133+H133+F133+E133+D133)/5</f>
        <v>354.8</v>
      </c>
      <c r="L133" s="541">
        <v>358</v>
      </c>
      <c r="M133" s="706">
        <f t="shared" ref="M133:M138" si="127">(L133+J133+H133+F133+E133)/5</f>
        <v>358.4</v>
      </c>
      <c r="N133" s="541">
        <v>377</v>
      </c>
      <c r="O133" s="785">
        <f t="shared" ref="O133:O138" si="128">(+N133+L133+J133+H133+F133)/5</f>
        <v>356.8</v>
      </c>
      <c r="P133" s="715">
        <v>305</v>
      </c>
      <c r="Q133" s="792">
        <f t="shared" ref="Q133:Q138" si="129">(P133+N133+L133+J133+H133)/5</f>
        <v>346.4</v>
      </c>
      <c r="R133" s="715">
        <v>267</v>
      </c>
      <c r="S133" s="792">
        <f t="shared" ref="S133:S138" si="130">(R133+P133+N133+L133+J133)/5</f>
        <v>332.2</v>
      </c>
      <c r="T133" s="715">
        <v>210</v>
      </c>
      <c r="U133" s="792">
        <f t="shared" ref="U133:U138" si="131">(T133+R133+P133+N133+L133)/5</f>
        <v>303.39999999999998</v>
      </c>
      <c r="V133" s="715">
        <v>189</v>
      </c>
      <c r="W133" s="792">
        <f t="shared" ref="W133:W138" si="132">(V133+T133+R133+P133+N133)/5</f>
        <v>269.60000000000002</v>
      </c>
      <c r="X133" s="715">
        <f>212</f>
        <v>212</v>
      </c>
      <c r="Y133" s="792">
        <f t="shared" ref="Y133:Y138" si="133">(X133+V133+T133+R133+P133)/5</f>
        <v>236.6</v>
      </c>
      <c r="Z133" s="715">
        <v>120</v>
      </c>
      <c r="AA133" s="792">
        <f t="shared" ref="AA133:AA138" si="134">(Z133+X133+V133+T133+R133)/5</f>
        <v>199.6</v>
      </c>
      <c r="AB133" s="715">
        <v>244</v>
      </c>
      <c r="AC133" s="792">
        <f t="shared" ref="AC133:AC138" si="135">(AB133+Z133+X133+V133+T133)/5</f>
        <v>195</v>
      </c>
      <c r="AD133" s="715">
        <v>351</v>
      </c>
      <c r="AE133" s="792">
        <f t="shared" ref="AE133:AE138" si="136">(AD133+AB133+Z133+X133+V133)/5</f>
        <v>223.2</v>
      </c>
    </row>
    <row r="134" spans="1:31" ht="18" customHeight="1" x14ac:dyDescent="0.3">
      <c r="A134" s="678" t="s">
        <v>1092</v>
      </c>
      <c r="B134" s="541">
        <v>2</v>
      </c>
      <c r="C134" s="541">
        <v>8</v>
      </c>
      <c r="D134" s="541">
        <v>7</v>
      </c>
      <c r="E134" s="541">
        <v>8</v>
      </c>
      <c r="F134" s="541">
        <v>6</v>
      </c>
      <c r="G134" s="706">
        <f t="shared" si="124"/>
        <v>6.2</v>
      </c>
      <c r="H134" s="541">
        <v>3</v>
      </c>
      <c r="I134" s="706">
        <f t="shared" si="125"/>
        <v>6.4</v>
      </c>
      <c r="J134" s="541">
        <v>5</v>
      </c>
      <c r="K134" s="706">
        <f t="shared" si="126"/>
        <v>5.8</v>
      </c>
      <c r="L134" s="541">
        <v>1</v>
      </c>
      <c r="M134" s="706">
        <f t="shared" si="127"/>
        <v>4.5999999999999996</v>
      </c>
      <c r="N134" s="541">
        <v>3</v>
      </c>
      <c r="O134" s="785">
        <f t="shared" si="128"/>
        <v>3.6</v>
      </c>
      <c r="P134" s="715">
        <v>0</v>
      </c>
      <c r="Q134" s="792">
        <f t="shared" si="129"/>
        <v>2.4</v>
      </c>
      <c r="R134" s="715">
        <v>0</v>
      </c>
      <c r="S134" s="792">
        <f t="shared" si="130"/>
        <v>1.8</v>
      </c>
      <c r="T134" s="715">
        <v>0</v>
      </c>
      <c r="U134" s="792">
        <f t="shared" si="131"/>
        <v>0.8</v>
      </c>
      <c r="V134" s="715">
        <v>0</v>
      </c>
      <c r="W134" s="792">
        <f t="shared" si="132"/>
        <v>0.6</v>
      </c>
      <c r="X134" s="715">
        <v>0</v>
      </c>
      <c r="Y134" s="792">
        <f t="shared" si="133"/>
        <v>0</v>
      </c>
      <c r="Z134" s="715">
        <v>0</v>
      </c>
      <c r="AA134" s="792">
        <f t="shared" si="134"/>
        <v>0</v>
      </c>
      <c r="AB134" s="715">
        <v>0</v>
      </c>
      <c r="AC134" s="792">
        <f t="shared" si="135"/>
        <v>0</v>
      </c>
      <c r="AD134" s="715">
        <v>0</v>
      </c>
      <c r="AE134" s="792">
        <f t="shared" si="136"/>
        <v>0</v>
      </c>
    </row>
    <row r="135" spans="1:31" ht="18" customHeight="1" x14ac:dyDescent="0.3">
      <c r="A135" s="678" t="s">
        <v>1093</v>
      </c>
      <c r="B135" s="541">
        <v>5</v>
      </c>
      <c r="C135" s="541">
        <v>0</v>
      </c>
      <c r="D135" s="541">
        <v>1</v>
      </c>
      <c r="E135" s="541">
        <v>4</v>
      </c>
      <c r="F135" s="541">
        <v>2</v>
      </c>
      <c r="G135" s="706">
        <f t="shared" si="124"/>
        <v>2.4</v>
      </c>
      <c r="H135" s="541">
        <v>2</v>
      </c>
      <c r="I135" s="706">
        <f t="shared" si="125"/>
        <v>1.8</v>
      </c>
      <c r="J135" s="541">
        <v>4</v>
      </c>
      <c r="K135" s="706">
        <f t="shared" si="126"/>
        <v>2.6</v>
      </c>
      <c r="L135" s="541">
        <v>0</v>
      </c>
      <c r="M135" s="706">
        <f t="shared" si="127"/>
        <v>2.4</v>
      </c>
      <c r="N135" s="541">
        <v>0</v>
      </c>
      <c r="O135" s="785">
        <f t="shared" si="128"/>
        <v>1.6</v>
      </c>
      <c r="P135" s="715">
        <v>0</v>
      </c>
      <c r="Q135" s="792">
        <f t="shared" si="129"/>
        <v>1.2</v>
      </c>
      <c r="R135" s="715">
        <v>0</v>
      </c>
      <c r="S135" s="792">
        <f t="shared" si="130"/>
        <v>0.8</v>
      </c>
      <c r="T135" s="715">
        <v>0</v>
      </c>
      <c r="U135" s="792">
        <f t="shared" si="131"/>
        <v>0</v>
      </c>
      <c r="V135" s="715">
        <v>0</v>
      </c>
      <c r="W135" s="792">
        <f t="shared" si="132"/>
        <v>0</v>
      </c>
      <c r="X135" s="715">
        <v>0</v>
      </c>
      <c r="Y135" s="792">
        <f t="shared" si="133"/>
        <v>0</v>
      </c>
      <c r="Z135" s="715">
        <v>0</v>
      </c>
      <c r="AA135" s="792">
        <f t="shared" si="134"/>
        <v>0</v>
      </c>
      <c r="AB135" s="715">
        <v>0</v>
      </c>
      <c r="AC135" s="792">
        <f t="shared" si="135"/>
        <v>0</v>
      </c>
      <c r="AD135" s="715">
        <v>0</v>
      </c>
      <c r="AE135" s="792">
        <f t="shared" si="136"/>
        <v>0</v>
      </c>
    </row>
    <row r="136" spans="1:31" ht="18" customHeight="1" x14ac:dyDescent="0.3">
      <c r="A136" s="678" t="s">
        <v>1094</v>
      </c>
      <c r="B136" s="541">
        <v>59</v>
      </c>
      <c r="C136" s="541">
        <v>80</v>
      </c>
      <c r="D136" s="541">
        <v>65</v>
      </c>
      <c r="E136" s="541">
        <v>81</v>
      </c>
      <c r="F136" s="541">
        <v>84</v>
      </c>
      <c r="G136" s="706">
        <f t="shared" si="124"/>
        <v>73.8</v>
      </c>
      <c r="H136" s="541">
        <f>78-9</f>
        <v>69</v>
      </c>
      <c r="I136" s="706">
        <f t="shared" si="125"/>
        <v>75.8</v>
      </c>
      <c r="J136" s="541">
        <f>65-4+1</f>
        <v>62</v>
      </c>
      <c r="K136" s="706">
        <f t="shared" si="126"/>
        <v>72.2</v>
      </c>
      <c r="L136" s="541">
        <f>67-8</f>
        <v>59</v>
      </c>
      <c r="M136" s="706">
        <f t="shared" si="127"/>
        <v>71</v>
      </c>
      <c r="N136" s="541">
        <f>211-132</f>
        <v>79</v>
      </c>
      <c r="O136" s="785">
        <f t="shared" si="128"/>
        <v>70.599999999999994</v>
      </c>
      <c r="P136" s="715">
        <v>44</v>
      </c>
      <c r="Q136" s="792">
        <f t="shared" si="129"/>
        <v>62.6</v>
      </c>
      <c r="R136" s="715">
        <v>50</v>
      </c>
      <c r="S136" s="792">
        <f t="shared" si="130"/>
        <v>58.8</v>
      </c>
      <c r="T136" s="715">
        <v>33</v>
      </c>
      <c r="U136" s="792">
        <f t="shared" si="131"/>
        <v>53</v>
      </c>
      <c r="V136" s="715">
        <v>47</v>
      </c>
      <c r="W136" s="792">
        <f t="shared" si="132"/>
        <v>50.6</v>
      </c>
      <c r="X136" s="715">
        <v>31</v>
      </c>
      <c r="Y136" s="792">
        <f t="shared" si="133"/>
        <v>41</v>
      </c>
      <c r="Z136" s="715">
        <v>244</v>
      </c>
      <c r="AA136" s="792">
        <f t="shared" si="134"/>
        <v>81</v>
      </c>
      <c r="AB136" s="715">
        <v>227</v>
      </c>
      <c r="AC136" s="792">
        <f t="shared" si="135"/>
        <v>116.4</v>
      </c>
      <c r="AD136" s="715">
        <v>65</v>
      </c>
      <c r="AE136" s="792">
        <f t="shared" si="136"/>
        <v>122.8</v>
      </c>
    </row>
    <row r="137" spans="1:31" ht="18" customHeight="1" x14ac:dyDescent="0.3">
      <c r="A137" s="679" t="s">
        <v>961</v>
      </c>
      <c r="B137" s="558">
        <f>SUM(B133:B136)</f>
        <v>411</v>
      </c>
      <c r="C137" s="558">
        <f>SUM(C133:C136)</f>
        <v>406</v>
      </c>
      <c r="D137" s="558">
        <f>SUM(D133:D136)</f>
        <v>413</v>
      </c>
      <c r="E137" s="558">
        <f>SUM(E133:E136)</f>
        <v>478</v>
      </c>
      <c r="F137" s="558">
        <f>SUM(F133:F136)</f>
        <v>449</v>
      </c>
      <c r="G137" s="706">
        <f t="shared" si="124"/>
        <v>431.4</v>
      </c>
      <c r="H137" s="558">
        <f>SUM(H133:H136)</f>
        <v>412</v>
      </c>
      <c r="I137" s="706">
        <f t="shared" si="125"/>
        <v>431.6</v>
      </c>
      <c r="J137" s="559">
        <f>SUM(J133:J136)</f>
        <v>425</v>
      </c>
      <c r="K137" s="706">
        <f t="shared" si="126"/>
        <v>435.4</v>
      </c>
      <c r="L137" s="559">
        <f>SUM(L133:L136)</f>
        <v>418</v>
      </c>
      <c r="M137" s="706">
        <f t="shared" si="127"/>
        <v>436.4</v>
      </c>
      <c r="N137" s="559">
        <f>SUM(N133:N136)</f>
        <v>459</v>
      </c>
      <c r="O137" s="785">
        <f t="shared" si="128"/>
        <v>432.6</v>
      </c>
      <c r="P137" s="718">
        <f>SUM(P133:P136)</f>
        <v>349</v>
      </c>
      <c r="Q137" s="792">
        <f t="shared" si="129"/>
        <v>412.6</v>
      </c>
      <c r="R137" s="718">
        <f>SUM(R133:R136)</f>
        <v>317</v>
      </c>
      <c r="S137" s="792">
        <f t="shared" si="130"/>
        <v>393.6</v>
      </c>
      <c r="T137" s="718">
        <f>SUM(T133:T136)</f>
        <v>243</v>
      </c>
      <c r="U137" s="792">
        <f t="shared" si="131"/>
        <v>357.2</v>
      </c>
      <c r="V137" s="718">
        <f>SUM(V133:V136)</f>
        <v>236</v>
      </c>
      <c r="W137" s="792">
        <f t="shared" si="132"/>
        <v>320.8</v>
      </c>
      <c r="X137" s="718">
        <f>SUM(X133:X136)</f>
        <v>243</v>
      </c>
      <c r="Y137" s="792">
        <f t="shared" si="133"/>
        <v>277.60000000000002</v>
      </c>
      <c r="Z137" s="718">
        <f>SUM(Z133:Z136)</f>
        <v>364</v>
      </c>
      <c r="AA137" s="792">
        <f t="shared" si="134"/>
        <v>280.60000000000002</v>
      </c>
      <c r="AB137" s="718">
        <f>SUM(AB133:AB136)</f>
        <v>471</v>
      </c>
      <c r="AC137" s="792">
        <f t="shared" si="135"/>
        <v>311.39999999999998</v>
      </c>
      <c r="AD137" s="718">
        <f>SUM(AD133:AD136)</f>
        <v>416</v>
      </c>
      <c r="AE137" s="792">
        <f t="shared" si="136"/>
        <v>346</v>
      </c>
    </row>
    <row r="138" spans="1:31" ht="18" customHeight="1" thickBot="1" x14ac:dyDescent="0.35">
      <c r="A138" s="795" t="s">
        <v>949</v>
      </c>
      <c r="B138" s="796">
        <f>+B137+B131+B105+B66+B35</f>
        <v>2722</v>
      </c>
      <c r="C138" s="796">
        <f>+C137+C131+C105+C66+C35</f>
        <v>2731</v>
      </c>
      <c r="D138" s="796">
        <f>+D137+D131+D105+D66+D35</f>
        <v>2600</v>
      </c>
      <c r="E138" s="796">
        <f>+E137+E131+E105+E66+E35</f>
        <v>2883</v>
      </c>
      <c r="F138" s="796">
        <f>+F137+F131+F105+F66+F35</f>
        <v>2935</v>
      </c>
      <c r="G138" s="796">
        <f t="shared" si="124"/>
        <v>2774.2</v>
      </c>
      <c r="H138" s="796">
        <f>+H137+H131+H105+H66+H35</f>
        <v>2710</v>
      </c>
      <c r="I138" s="796">
        <f t="shared" si="125"/>
        <v>2771.8</v>
      </c>
      <c r="J138" s="796">
        <f>+J137+J131+J105+J66+J35</f>
        <v>2947</v>
      </c>
      <c r="K138" s="796">
        <f t="shared" si="126"/>
        <v>2815</v>
      </c>
      <c r="L138" s="796">
        <f>+L137+L131+L105+L66+L35</f>
        <v>2950</v>
      </c>
      <c r="M138" s="796">
        <f t="shared" si="127"/>
        <v>2885</v>
      </c>
      <c r="N138" s="796">
        <f>+N137+N131+N105+N66+N35</f>
        <v>2918</v>
      </c>
      <c r="O138" s="797">
        <f t="shared" si="128"/>
        <v>2892</v>
      </c>
      <c r="P138" s="798">
        <f>+P137+P131+P105+P66+P35</f>
        <v>2703</v>
      </c>
      <c r="Q138" s="799">
        <f t="shared" si="129"/>
        <v>2845.6</v>
      </c>
      <c r="R138" s="798">
        <f>+R137+R131+R105+R66+R35</f>
        <v>2682</v>
      </c>
      <c r="S138" s="799">
        <f t="shared" si="130"/>
        <v>2840</v>
      </c>
      <c r="T138" s="798">
        <f>+T137+T131+T105+T66+T35</f>
        <v>2408</v>
      </c>
      <c r="U138" s="799">
        <f t="shared" si="131"/>
        <v>2732.2</v>
      </c>
      <c r="V138" s="798">
        <f>+V137+V131+V105+V66+V35</f>
        <v>2614</v>
      </c>
      <c r="W138" s="799">
        <f t="shared" si="132"/>
        <v>2665</v>
      </c>
      <c r="X138" s="798">
        <f>+X137+X131+X105+X66+X35</f>
        <v>2838</v>
      </c>
      <c r="Y138" s="799">
        <f t="shared" si="133"/>
        <v>2649</v>
      </c>
      <c r="Z138" s="798">
        <f>+Z137+Z131+Z105+Z66+Z35</f>
        <v>3060</v>
      </c>
      <c r="AA138" s="799">
        <f t="shared" si="134"/>
        <v>2720.4</v>
      </c>
      <c r="AB138" s="798">
        <f>+AB137+AB131+AB105+AB66+AB35</f>
        <v>3069</v>
      </c>
      <c r="AC138" s="799">
        <f t="shared" si="135"/>
        <v>2797.8</v>
      </c>
      <c r="AD138" s="798">
        <f>+AD137+AD131+AD105+AD66+AD35</f>
        <v>3049</v>
      </c>
      <c r="AE138" s="799">
        <f t="shared" si="136"/>
        <v>2926</v>
      </c>
    </row>
    <row r="139" spans="1:31" ht="18" customHeight="1" x14ac:dyDescent="0.3">
      <c r="A139" s="560"/>
      <c r="B139" s="560"/>
      <c r="C139" s="560"/>
      <c r="D139" s="560"/>
      <c r="E139" s="560"/>
      <c r="F139" s="560"/>
      <c r="G139" s="560"/>
      <c r="H139" s="561"/>
      <c r="I139" s="561"/>
      <c r="J139" s="561"/>
      <c r="K139" s="561"/>
      <c r="L139" s="561"/>
      <c r="M139" s="561"/>
      <c r="N139" s="561"/>
      <c r="O139" s="561"/>
      <c r="P139" s="780"/>
      <c r="Q139" s="780"/>
    </row>
    <row r="140" spans="1:31" ht="16.8" x14ac:dyDescent="0.3">
      <c r="P140" s="781"/>
      <c r="Q140" s="781"/>
    </row>
    <row r="141" spans="1:31" ht="16.8" x14ac:dyDescent="0.3">
      <c r="P141" s="781"/>
      <c r="Q141" s="781"/>
    </row>
    <row r="142" spans="1:31" ht="16.8" x14ac:dyDescent="0.3">
      <c r="P142" s="781"/>
      <c r="Q142" s="781"/>
    </row>
    <row r="143" spans="1:31" ht="16.8" x14ac:dyDescent="0.3">
      <c r="P143" s="781"/>
      <c r="Q143" s="781"/>
    </row>
    <row r="144" spans="1:31" ht="16.8" x14ac:dyDescent="0.3">
      <c r="P144" s="781"/>
      <c r="Q144" s="781"/>
    </row>
    <row r="145" spans="16:17" ht="16.8" x14ac:dyDescent="0.3">
      <c r="P145" s="781"/>
      <c r="Q145" s="781"/>
    </row>
    <row r="146" spans="16:17" ht="16.8" x14ac:dyDescent="0.3">
      <c r="P146" s="781"/>
      <c r="Q146" s="781"/>
    </row>
    <row r="147" spans="16:17" ht="16.8" x14ac:dyDescent="0.3">
      <c r="P147" s="781"/>
      <c r="Q147" s="781"/>
    </row>
    <row r="148" spans="16:17" ht="16.8" x14ac:dyDescent="0.3">
      <c r="P148" s="781"/>
      <c r="Q148" s="781"/>
    </row>
    <row r="149" spans="16:17" ht="16.8" x14ac:dyDescent="0.3">
      <c r="P149" s="781"/>
      <c r="Q149" s="781"/>
    </row>
    <row r="150" spans="16:17" ht="16.8" x14ac:dyDescent="0.3">
      <c r="P150" s="781"/>
      <c r="Q150" s="781"/>
    </row>
    <row r="151" spans="16:17" ht="16.8" x14ac:dyDescent="0.3">
      <c r="P151" s="781"/>
      <c r="Q151" s="781"/>
    </row>
    <row r="152" spans="16:17" ht="16.8" x14ac:dyDescent="0.3">
      <c r="P152" s="781"/>
      <c r="Q152" s="781"/>
    </row>
    <row r="153" spans="16:17" ht="16.8" x14ac:dyDescent="0.3">
      <c r="P153" s="781"/>
      <c r="Q153" s="781"/>
    </row>
    <row r="154" spans="16:17" ht="16.8" x14ac:dyDescent="0.3">
      <c r="P154" s="781"/>
      <c r="Q154" s="781"/>
    </row>
    <row r="155" spans="16:17" ht="16.8" x14ac:dyDescent="0.3">
      <c r="P155" s="781"/>
      <c r="Q155" s="781"/>
    </row>
    <row r="156" spans="16:17" ht="16.8" x14ac:dyDescent="0.3">
      <c r="P156" s="781"/>
      <c r="Q156" s="781"/>
    </row>
    <row r="157" spans="16:17" ht="16.8" x14ac:dyDescent="0.3">
      <c r="P157" s="781"/>
      <c r="Q157" s="781"/>
    </row>
    <row r="158" spans="16:17" ht="16.8" x14ac:dyDescent="0.3">
      <c r="P158" s="781"/>
      <c r="Q158" s="781"/>
    </row>
    <row r="159" spans="16:17" ht="16.8" x14ac:dyDescent="0.3">
      <c r="P159" s="781"/>
      <c r="Q159" s="781"/>
    </row>
    <row r="160" spans="16:17" ht="16.8" x14ac:dyDescent="0.3">
      <c r="P160" s="781"/>
      <c r="Q160" s="781"/>
    </row>
    <row r="161" spans="16:17" ht="16.8" x14ac:dyDescent="0.3">
      <c r="P161" s="781"/>
      <c r="Q161" s="781"/>
    </row>
    <row r="162" spans="16:17" ht="16.8" x14ac:dyDescent="0.3">
      <c r="P162" s="781"/>
      <c r="Q162" s="781"/>
    </row>
    <row r="163" spans="16:17" ht="16.8" x14ac:dyDescent="0.3">
      <c r="P163" s="781"/>
      <c r="Q163" s="781"/>
    </row>
    <row r="164" spans="16:17" ht="16.8" x14ac:dyDescent="0.3">
      <c r="P164" s="781"/>
      <c r="Q164" s="781"/>
    </row>
    <row r="165" spans="16:17" ht="16.8" x14ac:dyDescent="0.3">
      <c r="P165" s="781"/>
      <c r="Q165" s="781"/>
    </row>
    <row r="166" spans="16:17" ht="16.8" x14ac:dyDescent="0.3">
      <c r="P166" s="781"/>
      <c r="Q166" s="781"/>
    </row>
    <row r="167" spans="16:17" ht="16.8" x14ac:dyDescent="0.3">
      <c r="P167" s="781"/>
      <c r="Q167" s="781"/>
    </row>
    <row r="168" spans="16:17" ht="16.8" x14ac:dyDescent="0.3">
      <c r="P168" s="781"/>
      <c r="Q168" s="781"/>
    </row>
    <row r="169" spans="16:17" ht="16.8" x14ac:dyDescent="0.3">
      <c r="P169" s="781"/>
      <c r="Q169" s="781"/>
    </row>
    <row r="170" spans="16:17" ht="16.8" x14ac:dyDescent="0.3">
      <c r="P170" s="781"/>
      <c r="Q170" s="781"/>
    </row>
    <row r="171" spans="16:17" ht="16.8" x14ac:dyDescent="0.3">
      <c r="P171" s="781"/>
      <c r="Q171" s="781"/>
    </row>
    <row r="172" spans="16:17" ht="16.8" x14ac:dyDescent="0.3">
      <c r="P172" s="781"/>
      <c r="Q172" s="781"/>
    </row>
    <row r="173" spans="16:17" ht="16.8" x14ac:dyDescent="0.3">
      <c r="P173" s="781"/>
      <c r="Q173" s="781"/>
    </row>
    <row r="174" spans="16:17" ht="16.8" x14ac:dyDescent="0.3">
      <c r="P174" s="781"/>
      <c r="Q174" s="781"/>
    </row>
    <row r="175" spans="16:17" ht="16.8" x14ac:dyDescent="0.3">
      <c r="P175" s="781"/>
      <c r="Q175" s="781"/>
    </row>
    <row r="176" spans="16:17" ht="16.8" x14ac:dyDescent="0.3">
      <c r="P176" s="781"/>
      <c r="Q176" s="781"/>
    </row>
    <row r="177" spans="16:17" ht="16.8" x14ac:dyDescent="0.3">
      <c r="P177" s="781"/>
      <c r="Q177" s="781"/>
    </row>
    <row r="178" spans="16:17" ht="16.8" x14ac:dyDescent="0.3">
      <c r="P178" s="781"/>
      <c r="Q178" s="781"/>
    </row>
    <row r="179" spans="16:17" ht="16.8" x14ac:dyDescent="0.3">
      <c r="P179" s="781"/>
      <c r="Q179" s="781"/>
    </row>
    <row r="180" spans="16:17" ht="16.8" x14ac:dyDescent="0.3">
      <c r="P180" s="781"/>
      <c r="Q180" s="781"/>
    </row>
    <row r="181" spans="16:17" ht="16.8" x14ac:dyDescent="0.3">
      <c r="P181" s="781"/>
      <c r="Q181" s="781"/>
    </row>
    <row r="182" spans="16:17" ht="16.8" x14ac:dyDescent="0.3">
      <c r="P182" s="781"/>
      <c r="Q182" s="781"/>
    </row>
    <row r="183" spans="16:17" ht="16.8" x14ac:dyDescent="0.3">
      <c r="P183" s="781"/>
      <c r="Q183" s="781"/>
    </row>
    <row r="184" spans="16:17" ht="16.8" x14ac:dyDescent="0.3">
      <c r="P184" s="781"/>
      <c r="Q184" s="781"/>
    </row>
    <row r="185" spans="16:17" ht="16.8" x14ac:dyDescent="0.3">
      <c r="P185" s="781"/>
      <c r="Q185" s="781"/>
    </row>
    <row r="186" spans="16:17" ht="16.8" x14ac:dyDescent="0.3">
      <c r="P186" s="781"/>
      <c r="Q186" s="781"/>
    </row>
    <row r="187" spans="16:17" ht="16.8" x14ac:dyDescent="0.3">
      <c r="P187" s="781"/>
      <c r="Q187" s="781"/>
    </row>
    <row r="188" spans="16:17" ht="16.8" x14ac:dyDescent="0.3">
      <c r="P188" s="781"/>
      <c r="Q188" s="781"/>
    </row>
    <row r="189" spans="16:17" ht="16.8" x14ac:dyDescent="0.3">
      <c r="P189" s="781"/>
      <c r="Q189" s="781"/>
    </row>
    <row r="190" spans="16:17" ht="16.8" x14ac:dyDescent="0.3">
      <c r="P190" s="781"/>
      <c r="Q190" s="781"/>
    </row>
    <row r="191" spans="16:17" ht="16.8" x14ac:dyDescent="0.3">
      <c r="P191" s="781"/>
      <c r="Q191" s="781"/>
    </row>
    <row r="192" spans="16:17" ht="16.8" x14ac:dyDescent="0.3">
      <c r="P192" s="781"/>
      <c r="Q192" s="781"/>
    </row>
    <row r="193" spans="16:17" ht="16.8" x14ac:dyDescent="0.3">
      <c r="P193" s="781"/>
      <c r="Q193" s="781"/>
    </row>
    <row r="194" spans="16:17" ht="16.8" x14ac:dyDescent="0.3">
      <c r="P194" s="781"/>
      <c r="Q194" s="781"/>
    </row>
    <row r="195" spans="16:17" ht="16.8" x14ac:dyDescent="0.3">
      <c r="P195" s="781"/>
      <c r="Q195" s="781"/>
    </row>
    <row r="196" spans="16:17" ht="16.8" x14ac:dyDescent="0.3">
      <c r="P196" s="781"/>
      <c r="Q196" s="781"/>
    </row>
    <row r="197" spans="16:17" ht="16.8" x14ac:dyDescent="0.3">
      <c r="P197" s="781"/>
      <c r="Q197" s="781"/>
    </row>
    <row r="198" spans="16:17" ht="16.8" x14ac:dyDescent="0.3">
      <c r="P198" s="781"/>
      <c r="Q198" s="781"/>
    </row>
    <row r="199" spans="16:17" ht="16.8" x14ac:dyDescent="0.3">
      <c r="P199" s="781"/>
      <c r="Q199" s="781"/>
    </row>
    <row r="200" spans="16:17" ht="16.8" x14ac:dyDescent="0.3">
      <c r="P200" s="781"/>
      <c r="Q200" s="781"/>
    </row>
    <row r="201" spans="16:17" ht="16.8" x14ac:dyDescent="0.3">
      <c r="P201" s="781"/>
      <c r="Q201" s="781"/>
    </row>
    <row r="202" spans="16:17" ht="16.8" x14ac:dyDescent="0.3">
      <c r="P202" s="781"/>
      <c r="Q202" s="781"/>
    </row>
    <row r="203" spans="16:17" ht="16.8" x14ac:dyDescent="0.3">
      <c r="P203" s="781"/>
      <c r="Q203" s="781"/>
    </row>
    <row r="204" spans="16:17" ht="16.8" x14ac:dyDescent="0.3">
      <c r="P204" s="781"/>
      <c r="Q204" s="781"/>
    </row>
    <row r="205" spans="16:17" ht="16.8" x14ac:dyDescent="0.3">
      <c r="P205" s="781"/>
      <c r="Q205" s="781"/>
    </row>
    <row r="206" spans="16:17" ht="16.8" x14ac:dyDescent="0.3">
      <c r="P206" s="781"/>
      <c r="Q206" s="781"/>
    </row>
    <row r="207" spans="16:17" ht="16.8" x14ac:dyDescent="0.3">
      <c r="P207" s="781"/>
      <c r="Q207" s="781"/>
    </row>
    <row r="208" spans="16:17" ht="16.8" x14ac:dyDescent="0.3">
      <c r="P208" s="781"/>
      <c r="Q208" s="781"/>
    </row>
    <row r="209" spans="16:17" ht="16.8" x14ac:dyDescent="0.3">
      <c r="P209" s="781"/>
      <c r="Q209" s="781"/>
    </row>
    <row r="210" spans="16:17" ht="16.8" x14ac:dyDescent="0.3">
      <c r="P210" s="781"/>
      <c r="Q210" s="781"/>
    </row>
    <row r="211" spans="16:17" ht="16.8" x14ac:dyDescent="0.3">
      <c r="P211" s="781"/>
      <c r="Q211" s="781"/>
    </row>
    <row r="212" spans="16:17" ht="16.8" x14ac:dyDescent="0.3">
      <c r="P212" s="781"/>
      <c r="Q212" s="781"/>
    </row>
    <row r="213" spans="16:17" ht="16.8" x14ac:dyDescent="0.3">
      <c r="P213" s="781"/>
      <c r="Q213" s="781"/>
    </row>
    <row r="214" spans="16:17" ht="16.8" x14ac:dyDescent="0.3">
      <c r="P214" s="781"/>
      <c r="Q214" s="781"/>
    </row>
    <row r="215" spans="16:17" ht="16.8" x14ac:dyDescent="0.3">
      <c r="P215" s="781"/>
      <c r="Q215" s="781"/>
    </row>
    <row r="216" spans="16:17" ht="16.8" x14ac:dyDescent="0.3">
      <c r="P216" s="781"/>
      <c r="Q216" s="781"/>
    </row>
    <row r="217" spans="16:17" ht="16.8" x14ac:dyDescent="0.3">
      <c r="P217" s="781"/>
      <c r="Q217" s="781"/>
    </row>
    <row r="218" spans="16:17" ht="16.8" x14ac:dyDescent="0.3">
      <c r="P218" s="781"/>
      <c r="Q218" s="781"/>
    </row>
    <row r="219" spans="16:17" ht="16.8" x14ac:dyDescent="0.3">
      <c r="P219" s="781"/>
      <c r="Q219" s="781"/>
    </row>
    <row r="220" spans="16:17" ht="16.8" x14ac:dyDescent="0.3">
      <c r="P220" s="781"/>
      <c r="Q220" s="781"/>
    </row>
    <row r="221" spans="16:17" ht="16.8" x14ac:dyDescent="0.3">
      <c r="P221" s="781"/>
      <c r="Q221" s="781"/>
    </row>
    <row r="222" spans="16:17" ht="16.8" x14ac:dyDescent="0.3">
      <c r="P222" s="781"/>
      <c r="Q222" s="781"/>
    </row>
    <row r="223" spans="16:17" ht="16.8" x14ac:dyDescent="0.3">
      <c r="P223" s="781"/>
      <c r="Q223" s="781"/>
    </row>
    <row r="224" spans="16:17" ht="16.8" x14ac:dyDescent="0.3">
      <c r="P224" s="781"/>
      <c r="Q224" s="781"/>
    </row>
    <row r="225" spans="16:17" ht="16.8" x14ac:dyDescent="0.3">
      <c r="P225" s="781"/>
      <c r="Q225" s="781"/>
    </row>
    <row r="226" spans="16:17" ht="16.8" x14ac:dyDescent="0.3">
      <c r="P226" s="781"/>
      <c r="Q226" s="781"/>
    </row>
    <row r="227" spans="16:17" ht="16.8" x14ac:dyDescent="0.3">
      <c r="P227" s="781"/>
      <c r="Q227" s="781"/>
    </row>
    <row r="228" spans="16:17" ht="16.8" x14ac:dyDescent="0.3">
      <c r="P228" s="781"/>
      <c r="Q228" s="781"/>
    </row>
    <row r="229" spans="16:17" ht="16.8" x14ac:dyDescent="0.3">
      <c r="P229" s="781"/>
      <c r="Q229" s="781"/>
    </row>
    <row r="230" spans="16:17" ht="16.8" x14ac:dyDescent="0.3">
      <c r="P230" s="781"/>
      <c r="Q230" s="781"/>
    </row>
    <row r="231" spans="16:17" ht="16.8" x14ac:dyDescent="0.3">
      <c r="P231" s="781"/>
      <c r="Q231" s="781"/>
    </row>
    <row r="232" spans="16:17" ht="16.8" x14ac:dyDescent="0.3">
      <c r="P232" s="781"/>
      <c r="Q232" s="781"/>
    </row>
    <row r="233" spans="16:17" ht="16.8" x14ac:dyDescent="0.3">
      <c r="P233" s="781"/>
      <c r="Q233" s="781"/>
    </row>
    <row r="234" spans="16:17" ht="16.8" x14ac:dyDescent="0.3">
      <c r="P234" s="781"/>
      <c r="Q234" s="781"/>
    </row>
    <row r="235" spans="16:17" ht="16.8" x14ac:dyDescent="0.3">
      <c r="P235" s="781"/>
      <c r="Q235" s="781"/>
    </row>
    <row r="236" spans="16:17" ht="16.8" x14ac:dyDescent="0.3">
      <c r="P236" s="781"/>
      <c r="Q236" s="781"/>
    </row>
    <row r="237" spans="16:17" ht="16.8" x14ac:dyDescent="0.3">
      <c r="P237" s="781"/>
      <c r="Q237" s="781"/>
    </row>
    <row r="238" spans="16:17" ht="16.8" x14ac:dyDescent="0.3">
      <c r="P238" s="781"/>
      <c r="Q238" s="781"/>
    </row>
    <row r="239" spans="16:17" ht="16.8" x14ac:dyDescent="0.3">
      <c r="P239" s="781"/>
      <c r="Q239" s="781"/>
    </row>
    <row r="240" spans="16:17" ht="16.8" x14ac:dyDescent="0.3">
      <c r="P240" s="781"/>
      <c r="Q240" s="781"/>
    </row>
    <row r="241" spans="16:17" ht="16.8" x14ac:dyDescent="0.3">
      <c r="P241" s="781"/>
      <c r="Q241" s="781"/>
    </row>
    <row r="242" spans="16:17" ht="16.8" x14ac:dyDescent="0.3">
      <c r="P242" s="781"/>
      <c r="Q242" s="781"/>
    </row>
    <row r="243" spans="16:17" ht="16.8" x14ac:dyDescent="0.3">
      <c r="P243" s="781"/>
      <c r="Q243" s="781"/>
    </row>
    <row r="244" spans="16:17" ht="16.8" x14ac:dyDescent="0.3">
      <c r="P244" s="781"/>
      <c r="Q244" s="781"/>
    </row>
    <row r="245" spans="16:17" ht="16.8" x14ac:dyDescent="0.3">
      <c r="P245" s="781"/>
      <c r="Q245" s="781"/>
    </row>
    <row r="246" spans="16:17" ht="16.8" x14ac:dyDescent="0.3">
      <c r="P246" s="781"/>
      <c r="Q246" s="781"/>
    </row>
    <row r="247" spans="16:17" ht="16.8" x14ac:dyDescent="0.3">
      <c r="P247" s="781"/>
      <c r="Q247" s="781"/>
    </row>
    <row r="248" spans="16:17" ht="16.8" x14ac:dyDescent="0.3">
      <c r="P248" s="781"/>
      <c r="Q248" s="781"/>
    </row>
    <row r="249" spans="16:17" ht="16.8" x14ac:dyDescent="0.3">
      <c r="P249" s="781"/>
      <c r="Q249" s="781"/>
    </row>
    <row r="250" spans="16:17" ht="16.8" x14ac:dyDescent="0.3">
      <c r="P250" s="781"/>
      <c r="Q250" s="781"/>
    </row>
    <row r="251" spans="16:17" ht="16.8" x14ac:dyDescent="0.3">
      <c r="P251" s="781"/>
      <c r="Q251" s="781"/>
    </row>
    <row r="252" spans="16:17" ht="16.8" x14ac:dyDescent="0.3">
      <c r="P252" s="781"/>
      <c r="Q252" s="781"/>
    </row>
    <row r="253" spans="16:17" ht="16.8" x14ac:dyDescent="0.3">
      <c r="P253" s="781"/>
      <c r="Q253" s="781"/>
    </row>
    <row r="254" spans="16:17" ht="16.8" x14ac:dyDescent="0.3">
      <c r="P254" s="781"/>
      <c r="Q254" s="781"/>
    </row>
    <row r="255" spans="16:17" ht="16.8" x14ac:dyDescent="0.3">
      <c r="P255" s="781"/>
      <c r="Q255" s="781"/>
    </row>
    <row r="256" spans="16:17" ht="16.8" x14ac:dyDescent="0.3">
      <c r="P256" s="781"/>
      <c r="Q256" s="781"/>
    </row>
    <row r="257" spans="16:17" ht="16.8" x14ac:dyDescent="0.3">
      <c r="P257" s="781"/>
      <c r="Q257" s="781"/>
    </row>
    <row r="258" spans="16:17" ht="16.8" x14ac:dyDescent="0.3">
      <c r="P258" s="781"/>
      <c r="Q258" s="781"/>
    </row>
    <row r="259" spans="16:17" ht="16.8" x14ac:dyDescent="0.3">
      <c r="P259" s="781"/>
      <c r="Q259" s="781"/>
    </row>
    <row r="260" spans="16:17" ht="16.8" x14ac:dyDescent="0.3">
      <c r="P260" s="781"/>
      <c r="Q260" s="781"/>
    </row>
    <row r="261" spans="16:17" ht="16.8" x14ac:dyDescent="0.3">
      <c r="P261" s="781"/>
      <c r="Q261" s="781"/>
    </row>
    <row r="262" spans="16:17" ht="16.8" x14ac:dyDescent="0.3">
      <c r="P262" s="781"/>
      <c r="Q262" s="781"/>
    </row>
    <row r="263" spans="16:17" ht="16.8" x14ac:dyDescent="0.3">
      <c r="P263" s="781"/>
      <c r="Q263" s="781"/>
    </row>
    <row r="264" spans="16:17" ht="16.8" x14ac:dyDescent="0.3">
      <c r="P264" s="781"/>
      <c r="Q264" s="781"/>
    </row>
    <row r="265" spans="16:17" ht="16.8" x14ac:dyDescent="0.3">
      <c r="P265" s="781"/>
      <c r="Q265" s="781"/>
    </row>
    <row r="266" spans="16:17" ht="16.8" x14ac:dyDescent="0.3">
      <c r="P266" s="781"/>
      <c r="Q266" s="781"/>
    </row>
    <row r="267" spans="16:17" ht="16.8" x14ac:dyDescent="0.3">
      <c r="P267" s="781"/>
      <c r="Q267" s="781"/>
    </row>
    <row r="268" spans="16:17" ht="16.8" x14ac:dyDescent="0.3">
      <c r="P268" s="781"/>
      <c r="Q268" s="781"/>
    </row>
    <row r="269" spans="16:17" ht="16.8" x14ac:dyDescent="0.3">
      <c r="P269" s="781"/>
      <c r="Q269" s="781"/>
    </row>
    <row r="270" spans="16:17" ht="16.8" x14ac:dyDescent="0.3">
      <c r="P270" s="781"/>
      <c r="Q270" s="781"/>
    </row>
    <row r="271" spans="16:17" ht="16.8" x14ac:dyDescent="0.3">
      <c r="P271" s="781"/>
      <c r="Q271" s="781"/>
    </row>
    <row r="272" spans="16:17" ht="16.8" x14ac:dyDescent="0.3">
      <c r="P272" s="781"/>
      <c r="Q272" s="781"/>
    </row>
    <row r="273" spans="16:17" ht="16.8" x14ac:dyDescent="0.3">
      <c r="P273" s="781"/>
      <c r="Q273" s="781"/>
    </row>
    <row r="274" spans="16:17" ht="16.8" x14ac:dyDescent="0.3">
      <c r="P274" s="781"/>
      <c r="Q274" s="781"/>
    </row>
    <row r="275" spans="16:17" ht="16.8" x14ac:dyDescent="0.3">
      <c r="P275" s="781"/>
      <c r="Q275" s="781"/>
    </row>
    <row r="276" spans="16:17" ht="16.8" x14ac:dyDescent="0.3">
      <c r="P276" s="781"/>
      <c r="Q276" s="781"/>
    </row>
    <row r="277" spans="16:17" ht="16.8" x14ac:dyDescent="0.3">
      <c r="P277" s="781"/>
      <c r="Q277" s="781"/>
    </row>
    <row r="278" spans="16:17" ht="16.8" x14ac:dyDescent="0.3">
      <c r="P278" s="781"/>
      <c r="Q278" s="781"/>
    </row>
    <row r="279" spans="16:17" ht="16.8" x14ac:dyDescent="0.3">
      <c r="P279" s="781"/>
      <c r="Q279" s="781"/>
    </row>
    <row r="280" spans="16:17" ht="16.8" x14ac:dyDescent="0.3">
      <c r="P280" s="781"/>
      <c r="Q280" s="781"/>
    </row>
    <row r="281" spans="16:17" ht="16.8" x14ac:dyDescent="0.3">
      <c r="P281" s="781"/>
      <c r="Q281" s="781"/>
    </row>
    <row r="282" spans="16:17" ht="16.8" x14ac:dyDescent="0.3">
      <c r="P282" s="781"/>
      <c r="Q282" s="781"/>
    </row>
    <row r="283" spans="16:17" ht="16.8" x14ac:dyDescent="0.3">
      <c r="P283" s="781"/>
      <c r="Q283" s="781"/>
    </row>
    <row r="284" spans="16:17" ht="16.8" x14ac:dyDescent="0.3">
      <c r="P284" s="781"/>
      <c r="Q284" s="781"/>
    </row>
    <row r="285" spans="16:17" ht="16.8" x14ac:dyDescent="0.3">
      <c r="P285" s="781"/>
      <c r="Q285" s="781"/>
    </row>
    <row r="286" spans="16:17" ht="16.8" x14ac:dyDescent="0.3">
      <c r="P286" s="781"/>
      <c r="Q286" s="781"/>
    </row>
    <row r="287" spans="16:17" ht="16.8" x14ac:dyDescent="0.3">
      <c r="P287" s="781"/>
      <c r="Q287" s="781"/>
    </row>
    <row r="288" spans="16:17" ht="16.8" x14ac:dyDescent="0.3">
      <c r="P288" s="781"/>
      <c r="Q288" s="781"/>
    </row>
    <row r="289" spans="16:17" ht="16.8" x14ac:dyDescent="0.3">
      <c r="P289" s="781"/>
      <c r="Q289" s="781"/>
    </row>
    <row r="290" spans="16:17" ht="16.8" x14ac:dyDescent="0.3">
      <c r="P290" s="781"/>
      <c r="Q290" s="781"/>
    </row>
    <row r="291" spans="16:17" ht="16.8" x14ac:dyDescent="0.3">
      <c r="P291" s="781"/>
      <c r="Q291" s="781"/>
    </row>
    <row r="292" spans="16:17" ht="16.8" x14ac:dyDescent="0.3">
      <c r="P292" s="781"/>
      <c r="Q292" s="781"/>
    </row>
    <row r="293" spans="16:17" ht="16.8" x14ac:dyDescent="0.3">
      <c r="P293" s="781"/>
      <c r="Q293" s="781"/>
    </row>
    <row r="294" spans="16:17" ht="16.8" x14ac:dyDescent="0.3">
      <c r="P294" s="781"/>
      <c r="Q294" s="781"/>
    </row>
    <row r="295" spans="16:17" ht="16.8" x14ac:dyDescent="0.3">
      <c r="P295" s="781"/>
      <c r="Q295" s="781"/>
    </row>
    <row r="296" spans="16:17" ht="16.8" x14ac:dyDescent="0.3">
      <c r="P296" s="781"/>
      <c r="Q296" s="781"/>
    </row>
    <row r="297" spans="16:17" ht="16.8" x14ac:dyDescent="0.3">
      <c r="P297" s="781"/>
      <c r="Q297" s="781"/>
    </row>
    <row r="298" spans="16:17" ht="16.8" x14ac:dyDescent="0.3">
      <c r="P298" s="781"/>
      <c r="Q298" s="781"/>
    </row>
    <row r="299" spans="16:17" ht="16.8" x14ac:dyDescent="0.3">
      <c r="P299" s="781"/>
      <c r="Q299" s="781"/>
    </row>
    <row r="300" spans="16:17" ht="16.8" x14ac:dyDescent="0.3">
      <c r="P300" s="781"/>
      <c r="Q300" s="781"/>
    </row>
    <row r="301" spans="16:17" ht="16.8" x14ac:dyDescent="0.3">
      <c r="P301" s="781"/>
      <c r="Q301" s="781"/>
    </row>
    <row r="302" spans="16:17" ht="16.8" x14ac:dyDescent="0.3">
      <c r="P302" s="781"/>
      <c r="Q302" s="781"/>
    </row>
    <row r="303" spans="16:17" ht="16.8" x14ac:dyDescent="0.3">
      <c r="P303" s="781"/>
      <c r="Q303" s="781"/>
    </row>
    <row r="304" spans="16:17" ht="16.8" x14ac:dyDescent="0.3">
      <c r="P304" s="781"/>
      <c r="Q304" s="781"/>
    </row>
    <row r="305" spans="16:17" ht="16.8" x14ac:dyDescent="0.3">
      <c r="P305" s="781"/>
      <c r="Q305" s="781"/>
    </row>
    <row r="306" spans="16:17" ht="16.8" x14ac:dyDescent="0.3">
      <c r="P306" s="781"/>
      <c r="Q306" s="781"/>
    </row>
    <row r="307" spans="16:17" ht="16.8" x14ac:dyDescent="0.3">
      <c r="P307" s="781"/>
      <c r="Q307" s="781"/>
    </row>
    <row r="308" spans="16:17" ht="16.8" x14ac:dyDescent="0.3">
      <c r="P308" s="781"/>
      <c r="Q308" s="781"/>
    </row>
    <row r="309" spans="16:17" ht="16.8" x14ac:dyDescent="0.3">
      <c r="P309" s="781"/>
      <c r="Q309" s="781"/>
    </row>
    <row r="310" spans="16:17" ht="16.8" x14ac:dyDescent="0.3">
      <c r="P310" s="781"/>
      <c r="Q310" s="781"/>
    </row>
    <row r="311" spans="16:17" ht="16.8" x14ac:dyDescent="0.3">
      <c r="P311" s="781"/>
      <c r="Q311" s="781"/>
    </row>
    <row r="312" spans="16:17" ht="16.8" x14ac:dyDescent="0.3">
      <c r="P312" s="781"/>
      <c r="Q312" s="781"/>
    </row>
    <row r="313" spans="16:17" ht="16.8" x14ac:dyDescent="0.3">
      <c r="P313" s="781"/>
      <c r="Q313" s="781"/>
    </row>
    <row r="314" spans="16:17" ht="16.8" x14ac:dyDescent="0.3">
      <c r="P314" s="781"/>
      <c r="Q314" s="781"/>
    </row>
    <row r="315" spans="16:17" ht="16.8" x14ac:dyDescent="0.3">
      <c r="P315" s="781"/>
      <c r="Q315" s="781"/>
    </row>
    <row r="316" spans="16:17" ht="16.8" x14ac:dyDescent="0.3">
      <c r="P316" s="781"/>
      <c r="Q316" s="781"/>
    </row>
  </sheetData>
  <mergeCells count="5">
    <mergeCell ref="A3:AE3"/>
    <mergeCell ref="A36:AE36"/>
    <mergeCell ref="A67:AE67"/>
    <mergeCell ref="A106:AE106"/>
    <mergeCell ref="A1:AE1"/>
  </mergeCells>
  <phoneticPr fontId="15" type="noConversion"/>
  <printOptions horizontalCentered="1" verticalCentered="1"/>
  <pageMargins left="0.2" right="0.2" top="0.3" bottom="0.4" header="0" footer="0.15"/>
  <pageSetup paperSize="5" scale="43" orientation="landscape" r:id="rId1"/>
  <headerFooter alignWithMargins="0">
    <oddFooter>&amp;LSource: Office of Institutional Research</oddFooter>
  </headerFooter>
  <rowBreaks count="1" manualBreakCount="1">
    <brk id="66" max="16383" man="1"/>
  </row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workbookViewId="0">
      <selection activeCell="J8" sqref="J8"/>
    </sheetView>
  </sheetViews>
  <sheetFormatPr defaultRowHeight="13.2" x14ac:dyDescent="0.25"/>
  <cols>
    <col min="1" max="1" width="64.5546875" bestFit="1" customWidth="1"/>
    <col min="2" max="2" width="15.44140625" hidden="1" customWidth="1"/>
    <col min="3" max="8" width="15.44140625" customWidth="1"/>
  </cols>
  <sheetData>
    <row r="1" spans="1:7" ht="19.2" x14ac:dyDescent="0.35">
      <c r="A1" s="1755" t="s">
        <v>1466</v>
      </c>
      <c r="B1" s="1755"/>
      <c r="C1" s="1755"/>
      <c r="D1" s="1755"/>
      <c r="E1" s="1755"/>
      <c r="F1" s="1755"/>
      <c r="G1" s="1755"/>
    </row>
    <row r="2" spans="1:7" ht="18" thickBot="1" x14ac:dyDescent="0.35">
      <c r="A2" s="1756"/>
      <c r="B2" s="1757"/>
      <c r="C2" s="1757"/>
      <c r="D2" s="1757"/>
      <c r="E2" s="1757"/>
      <c r="F2" s="1757"/>
      <c r="G2" s="1356"/>
    </row>
    <row r="3" spans="1:7" ht="16.8" x14ac:dyDescent="0.3">
      <c r="A3" s="896" t="s">
        <v>485</v>
      </c>
      <c r="B3" s="804" t="s">
        <v>583</v>
      </c>
      <c r="C3" s="804" t="s">
        <v>1363</v>
      </c>
      <c r="D3" s="804" t="s">
        <v>1388</v>
      </c>
      <c r="E3" s="804" t="s">
        <v>1389</v>
      </c>
      <c r="F3" s="1174" t="s">
        <v>1377</v>
      </c>
      <c r="G3" s="1174" t="s">
        <v>1503</v>
      </c>
    </row>
    <row r="4" spans="1:7" ht="16.8" x14ac:dyDescent="0.3">
      <c r="A4" s="678" t="s">
        <v>478</v>
      </c>
      <c r="B4" s="669">
        <v>20</v>
      </c>
      <c r="C4" s="669">
        <v>21</v>
      </c>
      <c r="D4" s="669">
        <v>24</v>
      </c>
      <c r="E4" s="1313">
        <v>30</v>
      </c>
      <c r="F4" s="1312">
        <v>20</v>
      </c>
      <c r="G4" s="1312">
        <v>18</v>
      </c>
    </row>
    <row r="5" spans="1:7" ht="16.8" x14ac:dyDescent="0.3">
      <c r="A5" s="678" t="s">
        <v>479</v>
      </c>
      <c r="B5" s="669">
        <v>22</v>
      </c>
      <c r="C5" s="669">
        <v>24</v>
      </c>
      <c r="D5" s="669">
        <v>38</v>
      </c>
      <c r="E5" s="1313">
        <v>37</v>
      </c>
      <c r="F5" s="1312">
        <v>39</v>
      </c>
      <c r="G5" s="1312">
        <v>45</v>
      </c>
    </row>
    <row r="6" spans="1:7" ht="16.8" x14ac:dyDescent="0.3">
      <c r="A6" s="678" t="s">
        <v>480</v>
      </c>
      <c r="B6" s="669">
        <v>19</v>
      </c>
      <c r="C6" s="669">
        <v>20</v>
      </c>
      <c r="D6" s="669">
        <v>22</v>
      </c>
      <c r="E6" s="1313">
        <v>20</v>
      </c>
      <c r="F6" s="1312">
        <v>19</v>
      </c>
      <c r="G6" s="1312">
        <v>15</v>
      </c>
    </row>
    <row r="7" spans="1:7" ht="16.8" x14ac:dyDescent="0.3">
      <c r="A7" s="678" t="s">
        <v>481</v>
      </c>
      <c r="B7" s="669">
        <v>25</v>
      </c>
      <c r="C7" s="669">
        <v>30</v>
      </c>
      <c r="D7" s="669">
        <v>30</v>
      </c>
      <c r="E7" s="1313">
        <v>24</v>
      </c>
      <c r="F7" s="1312">
        <v>20</v>
      </c>
      <c r="G7" s="1312">
        <v>22</v>
      </c>
    </row>
    <row r="8" spans="1:7" ht="16.8" x14ac:dyDescent="0.3">
      <c r="A8" s="678" t="s">
        <v>482</v>
      </c>
      <c r="B8" s="669">
        <v>1</v>
      </c>
      <c r="C8" s="669">
        <v>0</v>
      </c>
      <c r="D8" s="669">
        <v>0</v>
      </c>
      <c r="E8" s="1313">
        <v>0</v>
      </c>
      <c r="F8" s="1312">
        <v>0</v>
      </c>
      <c r="G8" s="1312">
        <v>0</v>
      </c>
    </row>
    <row r="9" spans="1:7" ht="16.8" x14ac:dyDescent="0.3">
      <c r="A9" s="678" t="s">
        <v>483</v>
      </c>
      <c r="B9" s="669">
        <v>4</v>
      </c>
      <c r="C9" s="669">
        <v>0</v>
      </c>
      <c r="D9" s="669">
        <v>0</v>
      </c>
      <c r="E9" s="1313">
        <v>0</v>
      </c>
      <c r="F9" s="1312">
        <v>0</v>
      </c>
      <c r="G9" s="1312">
        <v>0</v>
      </c>
    </row>
    <row r="10" spans="1:7" ht="16.8" x14ac:dyDescent="0.3">
      <c r="A10" s="678" t="s">
        <v>484</v>
      </c>
      <c r="B10" s="669">
        <v>7</v>
      </c>
      <c r="C10" s="669">
        <v>8</v>
      </c>
      <c r="D10" s="669">
        <v>13</v>
      </c>
      <c r="E10" s="1313">
        <v>10</v>
      </c>
      <c r="F10" s="1312">
        <v>4</v>
      </c>
      <c r="G10" s="1312">
        <v>6</v>
      </c>
    </row>
    <row r="11" spans="1:7" ht="17.399999999999999" thickBot="1" x14ac:dyDescent="0.35">
      <c r="A11" s="897" t="s">
        <v>833</v>
      </c>
      <c r="B11" s="722">
        <f t="shared" ref="B11:G11" si="0">SUM(B4:B10)</f>
        <v>98</v>
      </c>
      <c r="C11" s="722">
        <f t="shared" si="0"/>
        <v>103</v>
      </c>
      <c r="D11" s="722">
        <f t="shared" si="0"/>
        <v>127</v>
      </c>
      <c r="E11" s="722">
        <f t="shared" si="0"/>
        <v>121</v>
      </c>
      <c r="F11" s="1175">
        <f t="shared" si="0"/>
        <v>102</v>
      </c>
      <c r="G11" s="1175">
        <f t="shared" si="0"/>
        <v>106</v>
      </c>
    </row>
  </sheetData>
  <mergeCells count="2">
    <mergeCell ref="A2:F2"/>
    <mergeCell ref="A1:G1"/>
  </mergeCells>
  <printOptions horizontalCentered="1" verticalCentered="1"/>
  <pageMargins left="0.2" right="0.2" top="0.3" bottom="0.4" header="0" footer="0.15"/>
  <pageSetup scale="53" orientation="landscape" r:id="rId1"/>
  <headerFooter alignWithMargins="0">
    <oddFooter>&amp;LSource: Office of Institutional Research</oddFooter>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3"/>
  <dimension ref="A1:AP55"/>
  <sheetViews>
    <sheetView topLeftCell="B1" workbookViewId="0"/>
  </sheetViews>
  <sheetFormatPr defaultColWidth="7.88671875" defaultRowHeight="13.2" x14ac:dyDescent="0.25"/>
  <cols>
    <col min="1" max="1" width="7.88671875" style="212" hidden="1" customWidth="1"/>
    <col min="2" max="2" width="30" style="1" customWidth="1"/>
    <col min="3" max="3" width="10.6640625" style="1" hidden="1" customWidth="1"/>
    <col min="4" max="6" width="10.6640625" style="1" customWidth="1"/>
    <col min="7" max="7" width="10" style="1" customWidth="1"/>
    <col min="8" max="8" width="10.6640625" style="1" customWidth="1"/>
    <col min="9" max="9" width="10.33203125" style="1" customWidth="1"/>
    <col min="10" max="13" width="10.6640625" style="1" customWidth="1"/>
    <col min="14" max="15" width="10.88671875" style="1" customWidth="1"/>
    <col min="16" max="16384" width="7.88671875" style="1"/>
  </cols>
  <sheetData>
    <row r="1" spans="1:42" ht="17.399999999999999" x14ac:dyDescent="0.3">
      <c r="A1" s="214"/>
      <c r="B1" s="1760" t="s">
        <v>1121</v>
      </c>
      <c r="C1" s="1760"/>
      <c r="D1" s="1760"/>
      <c r="E1" s="1760"/>
      <c r="F1" s="1760"/>
      <c r="G1" s="1760"/>
      <c r="H1" s="1760"/>
      <c r="I1" s="1760"/>
      <c r="J1" s="1760"/>
      <c r="K1" s="1760"/>
      <c r="L1" s="1760"/>
      <c r="M1" s="1760"/>
    </row>
    <row r="2" spans="1:42" x14ac:dyDescent="0.25">
      <c r="A2" s="212" t="s">
        <v>1122</v>
      </c>
      <c r="B2" s="211"/>
      <c r="C2" s="211"/>
      <c r="D2" s="211"/>
    </row>
    <row r="3" spans="1:42" s="215" customFormat="1" x14ac:dyDescent="0.25">
      <c r="A3" s="211"/>
      <c r="B3" s="504"/>
      <c r="C3" s="1295" t="s">
        <v>915</v>
      </c>
      <c r="D3" s="1761" t="s">
        <v>1364</v>
      </c>
      <c r="E3" s="1759"/>
      <c r="F3" s="1758" t="s">
        <v>1385</v>
      </c>
      <c r="G3" s="1759"/>
      <c r="H3" s="1758" t="s">
        <v>1386</v>
      </c>
      <c r="I3" s="1759"/>
      <c r="J3" s="1758" t="s">
        <v>1387</v>
      </c>
      <c r="K3" s="1759"/>
      <c r="L3" s="1758" t="s">
        <v>1535</v>
      </c>
      <c r="M3" s="1759"/>
      <c r="N3" s="211"/>
      <c r="O3" s="211"/>
      <c r="P3" s="211"/>
      <c r="Q3" s="211"/>
      <c r="R3" s="211"/>
      <c r="S3" s="211"/>
      <c r="T3" s="211"/>
      <c r="U3" s="211"/>
      <c r="V3" s="211"/>
      <c r="W3" s="211"/>
      <c r="X3" s="211"/>
      <c r="Y3" s="211"/>
      <c r="Z3" s="211"/>
      <c r="AA3" s="211"/>
      <c r="AB3" s="211"/>
      <c r="AC3" s="211"/>
      <c r="AD3" s="211"/>
      <c r="AE3" s="211"/>
      <c r="AF3" s="211"/>
      <c r="AG3" s="211"/>
      <c r="AH3" s="211"/>
      <c r="AI3" s="211"/>
      <c r="AJ3" s="211"/>
      <c r="AK3" s="211"/>
      <c r="AL3" s="211"/>
      <c r="AM3" s="211"/>
      <c r="AN3" s="211"/>
      <c r="AO3" s="211"/>
      <c r="AP3" s="211"/>
    </row>
    <row r="4" spans="1:42" s="215" customFormat="1" x14ac:dyDescent="0.25">
      <c r="A4" s="211"/>
      <c r="B4" s="505"/>
      <c r="C4" s="1295" t="s">
        <v>1033</v>
      </c>
      <c r="D4" s="218" t="s">
        <v>1033</v>
      </c>
      <c r="E4" s="217" t="s">
        <v>1034</v>
      </c>
      <c r="F4" s="218" t="s">
        <v>1033</v>
      </c>
      <c r="G4" s="217" t="s">
        <v>1034</v>
      </c>
      <c r="H4" s="218" t="s">
        <v>1033</v>
      </c>
      <c r="I4" s="217" t="s">
        <v>1034</v>
      </c>
      <c r="J4" s="218" t="s">
        <v>1033</v>
      </c>
      <c r="K4" s="217" t="s">
        <v>1034</v>
      </c>
      <c r="L4" s="218" t="s">
        <v>1033</v>
      </c>
      <c r="M4" s="217" t="s">
        <v>1034</v>
      </c>
      <c r="N4" s="211"/>
      <c r="O4" s="211"/>
      <c r="P4" s="211"/>
      <c r="Q4" s="211"/>
      <c r="R4" s="211"/>
      <c r="S4" s="211"/>
      <c r="T4" s="211"/>
      <c r="U4" s="211"/>
      <c r="V4" s="211"/>
      <c r="W4" s="211"/>
      <c r="X4" s="211"/>
      <c r="Y4" s="211"/>
      <c r="Z4" s="211"/>
      <c r="AA4" s="211"/>
      <c r="AB4" s="211"/>
      <c r="AC4" s="211"/>
      <c r="AD4" s="211"/>
      <c r="AE4" s="211"/>
      <c r="AF4" s="211"/>
      <c r="AG4" s="211"/>
      <c r="AH4" s="211"/>
      <c r="AI4" s="211"/>
      <c r="AJ4" s="211"/>
      <c r="AK4" s="211"/>
      <c r="AL4" s="211"/>
      <c r="AM4" s="211"/>
      <c r="AN4" s="211"/>
      <c r="AO4" s="211"/>
      <c r="AP4" s="211"/>
    </row>
    <row r="5" spans="1:42" x14ac:dyDescent="0.25">
      <c r="B5" s="742"/>
      <c r="C5" s="1296"/>
      <c r="D5" s="403"/>
      <c r="E5" s="389"/>
      <c r="F5" s="388"/>
      <c r="G5" s="389"/>
      <c r="H5" s="388"/>
      <c r="I5" s="389"/>
      <c r="J5" s="388"/>
      <c r="K5" s="389"/>
      <c r="L5" s="388"/>
      <c r="M5" s="389"/>
    </row>
    <row r="6" spans="1:42" x14ac:dyDescent="0.25">
      <c r="B6" s="506" t="s">
        <v>1123</v>
      </c>
      <c r="C6" s="1297">
        <v>12</v>
      </c>
      <c r="D6" s="219">
        <v>5</v>
      </c>
      <c r="E6" s="155">
        <f t="shared" ref="E6:E51" si="0">IF(C6&gt;0,(D6-C6)/C6,(IF(D6=0,"N/A",100%)))</f>
        <v>-0.58333333333333337</v>
      </c>
      <c r="F6" s="219">
        <v>6</v>
      </c>
      <c r="G6" s="155">
        <f t="shared" ref="G6:G51" si="1">IF(D6&gt;0,(F6-D6)/D6,(IF(F6=0,"N/A",100%)))</f>
        <v>0.2</v>
      </c>
      <c r="H6" s="219">
        <v>6</v>
      </c>
      <c r="I6" s="155">
        <f t="shared" ref="I6:I51" si="2">IF(F6&gt;0,(H6-F6)/F6,(IF(H6=0,"N/A",100%)))</f>
        <v>0</v>
      </c>
      <c r="J6" s="219">
        <v>2</v>
      </c>
      <c r="K6" s="155">
        <f t="shared" ref="K6:K51" si="3">IF(H6&gt;0,(J6-H6)/H6,(IF(J6=0,"N/A",100%)))</f>
        <v>-0.66666666666666663</v>
      </c>
      <c r="L6" s="219">
        <v>2</v>
      </c>
      <c r="M6" s="155">
        <f t="shared" ref="M6:M51" si="4">IF(J6&gt;0,(L6-J6)/J6,(IF(L6=0,"N/A",100%)))</f>
        <v>0</v>
      </c>
    </row>
    <row r="7" spans="1:42" x14ac:dyDescent="0.25">
      <c r="A7" s="212">
        <v>2202</v>
      </c>
      <c r="B7" s="408" t="s">
        <v>1124</v>
      </c>
      <c r="C7" s="1298">
        <v>4</v>
      </c>
      <c r="D7" s="210">
        <v>2</v>
      </c>
      <c r="E7" s="155">
        <f t="shared" si="0"/>
        <v>-0.5</v>
      </c>
      <c r="F7" s="210">
        <v>1</v>
      </c>
      <c r="G7" s="155">
        <f t="shared" si="1"/>
        <v>-0.5</v>
      </c>
      <c r="H7" s="210">
        <v>0</v>
      </c>
      <c r="I7" s="155">
        <f t="shared" si="2"/>
        <v>-1</v>
      </c>
      <c r="J7" s="210">
        <v>1</v>
      </c>
      <c r="K7" s="155">
        <f t="shared" si="3"/>
        <v>1</v>
      </c>
      <c r="L7" s="210">
        <v>1</v>
      </c>
      <c r="M7" s="155">
        <f t="shared" si="4"/>
        <v>0</v>
      </c>
    </row>
    <row r="8" spans="1:42" x14ac:dyDescent="0.25">
      <c r="A8" s="212">
        <v>1003</v>
      </c>
      <c r="B8" s="408" t="s">
        <v>1125</v>
      </c>
      <c r="C8" s="1298">
        <v>2</v>
      </c>
      <c r="D8" s="210">
        <v>2</v>
      </c>
      <c r="E8" s="155">
        <f t="shared" si="0"/>
        <v>0</v>
      </c>
      <c r="F8" s="210">
        <v>1</v>
      </c>
      <c r="G8" s="155">
        <f t="shared" si="1"/>
        <v>-0.5</v>
      </c>
      <c r="H8" s="210">
        <v>0</v>
      </c>
      <c r="I8" s="155">
        <f t="shared" si="2"/>
        <v>-1</v>
      </c>
      <c r="J8" s="210">
        <v>0</v>
      </c>
      <c r="K8" s="155" t="str">
        <f t="shared" si="3"/>
        <v>N/A</v>
      </c>
      <c r="L8" s="210">
        <v>0</v>
      </c>
      <c r="M8" s="155" t="str">
        <f t="shared" si="4"/>
        <v>N/A</v>
      </c>
    </row>
    <row r="9" spans="1:42" x14ac:dyDescent="0.25">
      <c r="A9" s="212">
        <v>401</v>
      </c>
      <c r="B9" s="408" t="s">
        <v>1057</v>
      </c>
      <c r="C9" s="1298">
        <v>35</v>
      </c>
      <c r="D9" s="210">
        <v>19</v>
      </c>
      <c r="E9" s="155">
        <f t="shared" si="0"/>
        <v>-0.45714285714285713</v>
      </c>
      <c r="F9" s="210">
        <v>10</v>
      </c>
      <c r="G9" s="155">
        <f t="shared" si="1"/>
        <v>-0.47368421052631576</v>
      </c>
      <c r="H9" s="210">
        <v>3</v>
      </c>
      <c r="I9" s="155">
        <f t="shared" si="2"/>
        <v>-0.7</v>
      </c>
      <c r="J9" s="210">
        <v>2</v>
      </c>
      <c r="K9" s="155">
        <f t="shared" si="3"/>
        <v>-0.33333333333333331</v>
      </c>
      <c r="L9" s="210">
        <v>4</v>
      </c>
      <c r="M9" s="155">
        <f t="shared" si="4"/>
        <v>1</v>
      </c>
    </row>
    <row r="10" spans="1:42" x14ac:dyDescent="0.25">
      <c r="A10" s="212">
        <v>501</v>
      </c>
      <c r="B10" s="408" t="s">
        <v>1126</v>
      </c>
      <c r="C10" s="1298">
        <v>77</v>
      </c>
      <c r="D10" s="210">
        <v>37</v>
      </c>
      <c r="E10" s="155">
        <f t="shared" si="0"/>
        <v>-0.51948051948051943</v>
      </c>
      <c r="F10" s="210">
        <v>21</v>
      </c>
      <c r="G10" s="155">
        <f t="shared" si="1"/>
        <v>-0.43243243243243246</v>
      </c>
      <c r="H10" s="210">
        <v>16</v>
      </c>
      <c r="I10" s="155">
        <f t="shared" si="2"/>
        <v>-0.23809523809523808</v>
      </c>
      <c r="J10" s="210">
        <v>13</v>
      </c>
      <c r="K10" s="155">
        <f t="shared" si="3"/>
        <v>-0.1875</v>
      </c>
      <c r="L10" s="210">
        <v>18</v>
      </c>
      <c r="M10" s="155">
        <f t="shared" si="4"/>
        <v>0.38461538461538464</v>
      </c>
    </row>
    <row r="11" spans="1:42" x14ac:dyDescent="0.25">
      <c r="A11" s="212">
        <v>1905</v>
      </c>
      <c r="B11" s="409" t="s">
        <v>1058</v>
      </c>
      <c r="C11" s="1298">
        <v>18</v>
      </c>
      <c r="D11" s="210">
        <v>7</v>
      </c>
      <c r="E11" s="155">
        <f t="shared" si="0"/>
        <v>-0.61111111111111116</v>
      </c>
      <c r="F11" s="210">
        <v>6</v>
      </c>
      <c r="G11" s="155">
        <f t="shared" si="1"/>
        <v>-0.14285714285714285</v>
      </c>
      <c r="H11" s="210">
        <v>3</v>
      </c>
      <c r="I11" s="155">
        <f t="shared" si="2"/>
        <v>-0.5</v>
      </c>
      <c r="J11" s="210">
        <v>5</v>
      </c>
      <c r="K11" s="155">
        <f t="shared" si="3"/>
        <v>0.66666666666666663</v>
      </c>
      <c r="L11" s="210">
        <v>2</v>
      </c>
      <c r="M11" s="155">
        <f t="shared" si="4"/>
        <v>-0.6</v>
      </c>
    </row>
    <row r="12" spans="1:42" x14ac:dyDescent="0.25">
      <c r="A12" s="212">
        <v>2203</v>
      </c>
      <c r="B12" s="408" t="s">
        <v>1127</v>
      </c>
      <c r="C12" s="1298">
        <v>54</v>
      </c>
      <c r="D12" s="210">
        <v>12</v>
      </c>
      <c r="E12" s="155">
        <f t="shared" si="0"/>
        <v>-0.77777777777777779</v>
      </c>
      <c r="F12" s="210">
        <v>10</v>
      </c>
      <c r="G12" s="155">
        <f t="shared" si="1"/>
        <v>-0.16666666666666666</v>
      </c>
      <c r="H12" s="210">
        <v>2</v>
      </c>
      <c r="I12" s="155">
        <f t="shared" si="2"/>
        <v>-0.8</v>
      </c>
      <c r="J12" s="210">
        <v>3</v>
      </c>
      <c r="K12" s="155">
        <f t="shared" si="3"/>
        <v>0.5</v>
      </c>
      <c r="L12" s="210">
        <v>5</v>
      </c>
      <c r="M12" s="155">
        <f t="shared" si="4"/>
        <v>0.66666666666666663</v>
      </c>
    </row>
    <row r="13" spans="1:42" hidden="1" x14ac:dyDescent="0.25">
      <c r="A13" s="212">
        <v>899</v>
      </c>
      <c r="B13" s="408" t="s">
        <v>1128</v>
      </c>
      <c r="C13" s="1298">
        <v>0</v>
      </c>
      <c r="D13" s="210">
        <v>0</v>
      </c>
      <c r="E13" s="155" t="str">
        <f t="shared" si="0"/>
        <v>N/A</v>
      </c>
      <c r="F13" s="210">
        <v>0</v>
      </c>
      <c r="G13" s="155" t="str">
        <f t="shared" si="1"/>
        <v>N/A</v>
      </c>
      <c r="H13" s="210">
        <v>0</v>
      </c>
      <c r="I13" s="155" t="str">
        <f t="shared" si="2"/>
        <v>N/A</v>
      </c>
      <c r="J13" s="210">
        <v>0</v>
      </c>
      <c r="K13" s="155" t="str">
        <f t="shared" si="3"/>
        <v>N/A</v>
      </c>
      <c r="L13" s="210"/>
      <c r="M13" s="155" t="str">
        <f t="shared" si="4"/>
        <v>N/A</v>
      </c>
    </row>
    <row r="14" spans="1:42" x14ac:dyDescent="0.25">
      <c r="A14" s="212">
        <v>701</v>
      </c>
      <c r="B14" s="408" t="s">
        <v>916</v>
      </c>
      <c r="C14" s="1298">
        <v>24</v>
      </c>
      <c r="D14" s="210">
        <v>10</v>
      </c>
      <c r="E14" s="155">
        <f t="shared" si="0"/>
        <v>-0.58333333333333337</v>
      </c>
      <c r="F14" s="210">
        <v>1</v>
      </c>
      <c r="G14" s="155">
        <f t="shared" si="1"/>
        <v>-0.9</v>
      </c>
      <c r="H14" s="210">
        <v>5</v>
      </c>
      <c r="I14" s="155">
        <f t="shared" si="2"/>
        <v>4</v>
      </c>
      <c r="J14" s="210">
        <v>1</v>
      </c>
      <c r="K14" s="155">
        <f t="shared" si="3"/>
        <v>-0.8</v>
      </c>
      <c r="L14" s="210">
        <v>0</v>
      </c>
      <c r="M14" s="155">
        <f t="shared" si="4"/>
        <v>-1</v>
      </c>
    </row>
    <row r="15" spans="1:42" x14ac:dyDescent="0.25">
      <c r="B15" s="1290" t="s">
        <v>1446</v>
      </c>
      <c r="C15" s="1298">
        <v>0</v>
      </c>
      <c r="D15" s="210">
        <v>0</v>
      </c>
      <c r="E15" s="155" t="str">
        <f t="shared" si="0"/>
        <v>N/A</v>
      </c>
      <c r="F15" s="210">
        <v>3</v>
      </c>
      <c r="G15" s="155">
        <f t="shared" si="1"/>
        <v>1</v>
      </c>
      <c r="H15" s="210">
        <v>1</v>
      </c>
      <c r="I15" s="582">
        <f t="shared" si="2"/>
        <v>-0.66666666666666663</v>
      </c>
      <c r="J15" s="210">
        <v>0</v>
      </c>
      <c r="K15" s="155">
        <f t="shared" si="3"/>
        <v>-1</v>
      </c>
      <c r="L15" s="210">
        <v>0</v>
      </c>
      <c r="M15" s="155" t="str">
        <f t="shared" si="4"/>
        <v>N/A</v>
      </c>
    </row>
    <row r="16" spans="1:42" x14ac:dyDescent="0.25">
      <c r="A16" s="212">
        <v>1008</v>
      </c>
      <c r="B16" s="409" t="s">
        <v>1129</v>
      </c>
      <c r="C16" s="1298">
        <v>30</v>
      </c>
      <c r="D16" s="210">
        <v>15</v>
      </c>
      <c r="E16" s="155">
        <f t="shared" si="0"/>
        <v>-0.5</v>
      </c>
      <c r="F16" s="210">
        <v>9</v>
      </c>
      <c r="G16" s="155">
        <f t="shared" si="1"/>
        <v>-0.4</v>
      </c>
      <c r="H16" s="210">
        <v>7</v>
      </c>
      <c r="I16" s="602">
        <f t="shared" si="2"/>
        <v>-0.22222222222222221</v>
      </c>
      <c r="J16" s="210">
        <v>3</v>
      </c>
      <c r="K16" s="155">
        <f t="shared" si="3"/>
        <v>-0.5714285714285714</v>
      </c>
      <c r="L16" s="210">
        <v>4</v>
      </c>
      <c r="M16" s="155">
        <f t="shared" si="4"/>
        <v>0.33333333333333331</v>
      </c>
    </row>
    <row r="17" spans="1:13" x14ac:dyDescent="0.25">
      <c r="A17" s="212">
        <v>1009</v>
      </c>
      <c r="B17" s="409" t="s">
        <v>1130</v>
      </c>
      <c r="C17" s="1298">
        <v>7</v>
      </c>
      <c r="D17" s="210">
        <v>6</v>
      </c>
      <c r="E17" s="155">
        <f t="shared" si="0"/>
        <v>-0.14285714285714285</v>
      </c>
      <c r="F17" s="210">
        <v>4</v>
      </c>
      <c r="G17" s="155">
        <f t="shared" si="1"/>
        <v>-0.33333333333333331</v>
      </c>
      <c r="H17" s="210">
        <v>3</v>
      </c>
      <c r="I17" s="602">
        <f t="shared" si="2"/>
        <v>-0.25</v>
      </c>
      <c r="J17" s="210">
        <v>4</v>
      </c>
      <c r="K17" s="155">
        <f t="shared" si="3"/>
        <v>0.33333333333333331</v>
      </c>
      <c r="L17" s="210">
        <v>0</v>
      </c>
      <c r="M17" s="155">
        <f t="shared" si="4"/>
        <v>-1</v>
      </c>
    </row>
    <row r="18" spans="1:13" x14ac:dyDescent="0.25">
      <c r="A18" s="212">
        <v>1501</v>
      </c>
      <c r="B18" s="408" t="s">
        <v>1079</v>
      </c>
      <c r="C18" s="1298">
        <v>13</v>
      </c>
      <c r="D18" s="210">
        <v>9</v>
      </c>
      <c r="E18" s="155">
        <f t="shared" si="0"/>
        <v>-0.30769230769230771</v>
      </c>
      <c r="F18" s="210">
        <v>5</v>
      </c>
      <c r="G18" s="155">
        <f t="shared" si="1"/>
        <v>-0.44444444444444442</v>
      </c>
      <c r="H18" s="210">
        <v>5</v>
      </c>
      <c r="I18" s="602">
        <f t="shared" si="2"/>
        <v>0</v>
      </c>
      <c r="J18" s="210">
        <v>2</v>
      </c>
      <c r="K18" s="155">
        <f t="shared" si="3"/>
        <v>-0.6</v>
      </c>
      <c r="L18" s="210">
        <v>3</v>
      </c>
      <c r="M18" s="155">
        <f t="shared" si="4"/>
        <v>0.5</v>
      </c>
    </row>
    <row r="19" spans="1:13" hidden="1" x14ac:dyDescent="0.25">
      <c r="B19" s="408" t="s">
        <v>1131</v>
      </c>
      <c r="C19" s="1298">
        <v>0</v>
      </c>
      <c r="D19" s="210">
        <v>0</v>
      </c>
      <c r="E19" s="155" t="str">
        <f t="shared" si="0"/>
        <v>N/A</v>
      </c>
      <c r="F19" s="210">
        <v>0</v>
      </c>
      <c r="G19" s="155" t="str">
        <f t="shared" si="1"/>
        <v>N/A</v>
      </c>
      <c r="H19" s="210">
        <v>0</v>
      </c>
      <c r="I19" s="602" t="str">
        <f t="shared" si="2"/>
        <v>N/A</v>
      </c>
      <c r="J19" s="210">
        <v>0</v>
      </c>
      <c r="K19" s="155" t="str">
        <f t="shared" si="3"/>
        <v>N/A</v>
      </c>
      <c r="L19" s="210"/>
      <c r="M19" s="155" t="str">
        <f t="shared" si="4"/>
        <v>N/A</v>
      </c>
    </row>
    <row r="20" spans="1:13" x14ac:dyDescent="0.25">
      <c r="B20" s="408" t="s">
        <v>1060</v>
      </c>
      <c r="C20" s="1298">
        <v>9</v>
      </c>
      <c r="D20" s="210">
        <v>4</v>
      </c>
      <c r="E20" s="155">
        <f t="shared" si="0"/>
        <v>-0.55555555555555558</v>
      </c>
      <c r="F20" s="210">
        <v>1</v>
      </c>
      <c r="G20" s="155">
        <f t="shared" si="1"/>
        <v>-0.75</v>
      </c>
      <c r="H20" s="210">
        <v>0</v>
      </c>
      <c r="I20" s="602">
        <f t="shared" si="2"/>
        <v>-1</v>
      </c>
      <c r="J20" s="210">
        <v>0</v>
      </c>
      <c r="K20" s="155" t="str">
        <f t="shared" si="3"/>
        <v>N/A</v>
      </c>
      <c r="L20" s="210">
        <v>2</v>
      </c>
      <c r="M20" s="155">
        <f t="shared" si="4"/>
        <v>1</v>
      </c>
    </row>
    <row r="21" spans="1:13" x14ac:dyDescent="0.25">
      <c r="A21" s="212">
        <v>1102</v>
      </c>
      <c r="B21" s="408" t="s">
        <v>1132</v>
      </c>
      <c r="C21" s="1298">
        <v>6</v>
      </c>
      <c r="D21" s="210">
        <v>1</v>
      </c>
      <c r="E21" s="155">
        <f t="shared" si="0"/>
        <v>-0.83333333333333337</v>
      </c>
      <c r="F21" s="210">
        <v>3</v>
      </c>
      <c r="G21" s="155">
        <f t="shared" si="1"/>
        <v>2</v>
      </c>
      <c r="H21" s="210">
        <v>3</v>
      </c>
      <c r="I21" s="602">
        <f t="shared" si="2"/>
        <v>0</v>
      </c>
      <c r="J21" s="210">
        <v>3</v>
      </c>
      <c r="K21" s="155">
        <f t="shared" si="3"/>
        <v>0</v>
      </c>
      <c r="L21" s="210">
        <v>3</v>
      </c>
      <c r="M21" s="155">
        <f t="shared" si="4"/>
        <v>0</v>
      </c>
    </row>
    <row r="22" spans="1:13" x14ac:dyDescent="0.25">
      <c r="B22" s="408" t="s">
        <v>917</v>
      </c>
      <c r="C22" s="1298">
        <v>3</v>
      </c>
      <c r="D22" s="210">
        <v>1</v>
      </c>
      <c r="E22" s="155">
        <f t="shared" si="0"/>
        <v>-0.66666666666666663</v>
      </c>
      <c r="F22" s="210">
        <v>0</v>
      </c>
      <c r="G22" s="155">
        <f t="shared" si="1"/>
        <v>-1</v>
      </c>
      <c r="H22" s="210">
        <v>0</v>
      </c>
      <c r="I22" s="602" t="str">
        <f t="shared" si="2"/>
        <v>N/A</v>
      </c>
      <c r="J22" s="210">
        <v>0</v>
      </c>
      <c r="K22" s="155" t="str">
        <f t="shared" si="3"/>
        <v>N/A</v>
      </c>
      <c r="L22" s="210">
        <v>0</v>
      </c>
      <c r="M22" s="155" t="str">
        <f t="shared" si="4"/>
        <v>N/A</v>
      </c>
    </row>
    <row r="23" spans="1:13" x14ac:dyDescent="0.25">
      <c r="B23" s="408" t="s">
        <v>918</v>
      </c>
      <c r="C23" s="1298">
        <v>26</v>
      </c>
      <c r="D23" s="210">
        <v>12</v>
      </c>
      <c r="E23" s="155">
        <f t="shared" si="0"/>
        <v>-0.53846153846153844</v>
      </c>
      <c r="F23" s="210">
        <v>10</v>
      </c>
      <c r="G23" s="155">
        <f t="shared" si="1"/>
        <v>-0.16666666666666666</v>
      </c>
      <c r="H23" s="210">
        <v>14</v>
      </c>
      <c r="I23" s="602">
        <f t="shared" si="2"/>
        <v>0.4</v>
      </c>
      <c r="J23" s="210">
        <v>13</v>
      </c>
      <c r="K23" s="155">
        <f t="shared" si="3"/>
        <v>-7.1428571428571425E-2</v>
      </c>
      <c r="L23" s="210">
        <v>19</v>
      </c>
      <c r="M23" s="155">
        <f t="shared" si="4"/>
        <v>0.46153846153846156</v>
      </c>
    </row>
    <row r="24" spans="1:13" x14ac:dyDescent="0.25">
      <c r="A24" s="212">
        <v>2205</v>
      </c>
      <c r="B24" s="408" t="s">
        <v>1076</v>
      </c>
      <c r="C24" s="1298">
        <v>29</v>
      </c>
      <c r="D24" s="210">
        <v>16</v>
      </c>
      <c r="E24" s="155">
        <f t="shared" si="0"/>
        <v>-0.44827586206896552</v>
      </c>
      <c r="F24" s="210">
        <v>8</v>
      </c>
      <c r="G24" s="155">
        <f t="shared" si="1"/>
        <v>-0.5</v>
      </c>
      <c r="H24" s="210">
        <v>4</v>
      </c>
      <c r="I24" s="602">
        <f t="shared" si="2"/>
        <v>-0.5</v>
      </c>
      <c r="J24" s="210">
        <v>8</v>
      </c>
      <c r="K24" s="155">
        <f t="shared" si="3"/>
        <v>1</v>
      </c>
      <c r="L24" s="210">
        <v>5</v>
      </c>
      <c r="M24" s="155">
        <f t="shared" si="4"/>
        <v>-0.375</v>
      </c>
    </row>
    <row r="25" spans="1:13" x14ac:dyDescent="0.25">
      <c r="B25" s="1290" t="s">
        <v>1447</v>
      </c>
      <c r="C25" s="1298">
        <v>0</v>
      </c>
      <c r="D25" s="210">
        <v>0</v>
      </c>
      <c r="E25" s="155" t="str">
        <f t="shared" si="0"/>
        <v>N/A</v>
      </c>
      <c r="F25" s="210">
        <v>1</v>
      </c>
      <c r="G25" s="155">
        <f t="shared" si="1"/>
        <v>1</v>
      </c>
      <c r="H25" s="210">
        <v>1</v>
      </c>
      <c r="I25" s="602">
        <f t="shared" si="2"/>
        <v>0</v>
      </c>
      <c r="J25" s="210">
        <v>4</v>
      </c>
      <c r="K25" s="155">
        <f t="shared" si="3"/>
        <v>3</v>
      </c>
      <c r="L25" s="210">
        <v>0</v>
      </c>
      <c r="M25" s="155">
        <f t="shared" si="4"/>
        <v>-1</v>
      </c>
    </row>
    <row r="26" spans="1:13" x14ac:dyDescent="0.25">
      <c r="A26" s="212">
        <v>2206</v>
      </c>
      <c r="B26" s="408" t="s">
        <v>1134</v>
      </c>
      <c r="C26" s="1298">
        <v>6</v>
      </c>
      <c r="D26" s="210">
        <v>2</v>
      </c>
      <c r="E26" s="155">
        <f t="shared" si="0"/>
        <v>-0.66666666666666663</v>
      </c>
      <c r="F26" s="210">
        <v>2</v>
      </c>
      <c r="G26" s="155">
        <f t="shared" si="1"/>
        <v>0</v>
      </c>
      <c r="H26" s="210">
        <v>0</v>
      </c>
      <c r="I26" s="602">
        <f t="shared" si="2"/>
        <v>-1</v>
      </c>
      <c r="J26" s="210">
        <v>2</v>
      </c>
      <c r="K26" s="155">
        <f t="shared" si="3"/>
        <v>1</v>
      </c>
      <c r="L26" s="210">
        <v>4</v>
      </c>
      <c r="M26" s="155">
        <f t="shared" si="4"/>
        <v>1</v>
      </c>
    </row>
    <row r="27" spans="1:13" x14ac:dyDescent="0.25">
      <c r="B27" s="408" t="s">
        <v>919</v>
      </c>
      <c r="C27" s="1298">
        <v>1</v>
      </c>
      <c r="D27" s="210">
        <v>1</v>
      </c>
      <c r="E27" s="155">
        <f t="shared" si="0"/>
        <v>0</v>
      </c>
      <c r="F27" s="210">
        <v>1</v>
      </c>
      <c r="G27" s="155">
        <f t="shared" si="1"/>
        <v>0</v>
      </c>
      <c r="H27" s="210">
        <v>0</v>
      </c>
      <c r="I27" s="602">
        <f t="shared" si="2"/>
        <v>-1</v>
      </c>
      <c r="J27" s="210">
        <v>0</v>
      </c>
      <c r="K27" s="155" t="str">
        <f t="shared" si="3"/>
        <v>N/A</v>
      </c>
      <c r="L27" s="210">
        <v>0</v>
      </c>
      <c r="M27" s="155" t="str">
        <f t="shared" si="4"/>
        <v>N/A</v>
      </c>
    </row>
    <row r="28" spans="1:13" x14ac:dyDescent="0.25">
      <c r="B28" s="408" t="s">
        <v>621</v>
      </c>
      <c r="C28" s="1298">
        <v>1</v>
      </c>
      <c r="D28" s="210">
        <v>1</v>
      </c>
      <c r="E28" s="155">
        <f t="shared" si="0"/>
        <v>0</v>
      </c>
      <c r="F28" s="210">
        <v>0</v>
      </c>
      <c r="G28" s="155">
        <f t="shared" si="1"/>
        <v>-1</v>
      </c>
      <c r="H28" s="210">
        <v>0</v>
      </c>
      <c r="I28" s="602" t="str">
        <f t="shared" si="2"/>
        <v>N/A</v>
      </c>
      <c r="J28" s="210">
        <v>0</v>
      </c>
      <c r="K28" s="155" t="str">
        <f t="shared" si="3"/>
        <v>N/A</v>
      </c>
      <c r="L28" s="210">
        <v>0</v>
      </c>
      <c r="M28" s="155" t="str">
        <f t="shared" si="4"/>
        <v>N/A</v>
      </c>
    </row>
    <row r="29" spans="1:13" x14ac:dyDescent="0.25">
      <c r="B29" s="408" t="s">
        <v>1135</v>
      </c>
      <c r="C29" s="1298">
        <v>8</v>
      </c>
      <c r="D29" s="210">
        <v>7</v>
      </c>
      <c r="E29" s="155">
        <f t="shared" si="0"/>
        <v>-0.125</v>
      </c>
      <c r="F29" s="210">
        <v>7</v>
      </c>
      <c r="G29" s="155">
        <f t="shared" si="1"/>
        <v>0</v>
      </c>
      <c r="H29" s="210">
        <v>3</v>
      </c>
      <c r="I29" s="602">
        <f t="shared" si="2"/>
        <v>-0.5714285714285714</v>
      </c>
      <c r="J29" s="210">
        <v>2</v>
      </c>
      <c r="K29" s="155">
        <f t="shared" si="3"/>
        <v>-0.33333333333333331</v>
      </c>
      <c r="L29" s="210">
        <v>7</v>
      </c>
      <c r="M29" s="155">
        <f t="shared" si="4"/>
        <v>2.5</v>
      </c>
    </row>
    <row r="30" spans="1:13" x14ac:dyDescent="0.25">
      <c r="A30" s="212">
        <v>604</v>
      </c>
      <c r="B30" s="408" t="s">
        <v>1136</v>
      </c>
      <c r="C30" s="1298">
        <v>8</v>
      </c>
      <c r="D30" s="210">
        <v>0</v>
      </c>
      <c r="E30" s="155">
        <f t="shared" si="0"/>
        <v>-1</v>
      </c>
      <c r="F30" s="210">
        <v>0</v>
      </c>
      <c r="G30" s="155" t="str">
        <f t="shared" si="1"/>
        <v>N/A</v>
      </c>
      <c r="H30" s="210">
        <v>0</v>
      </c>
      <c r="I30" s="602" t="str">
        <f t="shared" si="2"/>
        <v>N/A</v>
      </c>
      <c r="J30" s="210">
        <v>0</v>
      </c>
      <c r="K30" s="155" t="str">
        <f t="shared" si="3"/>
        <v>N/A</v>
      </c>
      <c r="L30" s="210">
        <v>0</v>
      </c>
      <c r="M30" s="155" t="str">
        <f t="shared" si="4"/>
        <v>N/A</v>
      </c>
    </row>
    <row r="31" spans="1:13" x14ac:dyDescent="0.25">
      <c r="A31" s="212">
        <v>1701</v>
      </c>
      <c r="B31" s="408" t="s">
        <v>1088</v>
      </c>
      <c r="C31" s="1298">
        <v>20</v>
      </c>
      <c r="D31" s="210">
        <v>9</v>
      </c>
      <c r="E31" s="155">
        <f t="shared" si="0"/>
        <v>-0.55000000000000004</v>
      </c>
      <c r="F31" s="210">
        <v>3</v>
      </c>
      <c r="G31" s="155">
        <f t="shared" si="1"/>
        <v>-0.66666666666666663</v>
      </c>
      <c r="H31" s="210">
        <v>7</v>
      </c>
      <c r="I31" s="602">
        <f t="shared" si="2"/>
        <v>1.3333333333333333</v>
      </c>
      <c r="J31" s="210">
        <v>2</v>
      </c>
      <c r="K31" s="155">
        <f t="shared" si="3"/>
        <v>-0.7142857142857143</v>
      </c>
      <c r="L31" s="210">
        <v>7</v>
      </c>
      <c r="M31" s="155">
        <f t="shared" si="4"/>
        <v>2.5</v>
      </c>
    </row>
    <row r="32" spans="1:13" x14ac:dyDescent="0.25">
      <c r="A32" s="212">
        <v>603</v>
      </c>
      <c r="B32" s="408" t="s">
        <v>1137</v>
      </c>
      <c r="C32" s="1298">
        <v>1</v>
      </c>
      <c r="D32" s="210">
        <v>0</v>
      </c>
      <c r="E32" s="155">
        <f t="shared" si="0"/>
        <v>-1</v>
      </c>
      <c r="F32" s="210">
        <v>0</v>
      </c>
      <c r="G32" s="155" t="str">
        <f t="shared" si="1"/>
        <v>N/A</v>
      </c>
      <c r="H32" s="210">
        <v>0</v>
      </c>
      <c r="I32" s="602" t="str">
        <f t="shared" si="2"/>
        <v>N/A</v>
      </c>
      <c r="J32" s="210">
        <v>0</v>
      </c>
      <c r="K32" s="155" t="str">
        <f t="shared" si="3"/>
        <v>N/A</v>
      </c>
      <c r="L32" s="210">
        <v>0</v>
      </c>
      <c r="M32" s="155" t="str">
        <f t="shared" si="4"/>
        <v>N/A</v>
      </c>
    </row>
    <row r="33" spans="1:13" x14ac:dyDescent="0.25">
      <c r="B33" s="1290" t="s">
        <v>1448</v>
      </c>
      <c r="C33" s="1298">
        <v>0</v>
      </c>
      <c r="D33" s="210">
        <v>0</v>
      </c>
      <c r="E33" s="155" t="str">
        <f t="shared" si="0"/>
        <v>N/A</v>
      </c>
      <c r="F33" s="210">
        <v>0</v>
      </c>
      <c r="G33" s="155" t="str">
        <f t="shared" si="1"/>
        <v>N/A</v>
      </c>
      <c r="H33" s="210">
        <v>1</v>
      </c>
      <c r="I33" s="602">
        <f t="shared" si="2"/>
        <v>1</v>
      </c>
      <c r="J33" s="210">
        <v>1</v>
      </c>
      <c r="K33" s="155">
        <f t="shared" si="3"/>
        <v>0</v>
      </c>
      <c r="L33" s="210">
        <v>4</v>
      </c>
      <c r="M33" s="155">
        <f t="shared" si="4"/>
        <v>3</v>
      </c>
    </row>
    <row r="34" spans="1:13" x14ac:dyDescent="0.25">
      <c r="A34" s="212">
        <v>1004</v>
      </c>
      <c r="B34" s="408" t="s">
        <v>1072</v>
      </c>
      <c r="C34" s="1298">
        <v>37</v>
      </c>
      <c r="D34" s="210">
        <v>18</v>
      </c>
      <c r="E34" s="155">
        <f t="shared" si="0"/>
        <v>-0.51351351351351349</v>
      </c>
      <c r="F34" s="210">
        <v>9</v>
      </c>
      <c r="G34" s="155">
        <f t="shared" si="1"/>
        <v>-0.5</v>
      </c>
      <c r="H34" s="210">
        <v>5</v>
      </c>
      <c r="I34" s="602">
        <f t="shared" si="2"/>
        <v>-0.44444444444444442</v>
      </c>
      <c r="J34" s="210">
        <v>3</v>
      </c>
      <c r="K34" s="155">
        <f t="shared" si="3"/>
        <v>-0.4</v>
      </c>
      <c r="L34" s="210">
        <v>2</v>
      </c>
      <c r="M34" s="155">
        <f t="shared" si="4"/>
        <v>-0.33333333333333331</v>
      </c>
    </row>
    <row r="35" spans="1:13" x14ac:dyDescent="0.25">
      <c r="B35" s="1290" t="s">
        <v>1449</v>
      </c>
      <c r="C35" s="1298">
        <v>0</v>
      </c>
      <c r="D35" s="210">
        <v>0</v>
      </c>
      <c r="E35" s="155" t="str">
        <f t="shared" si="0"/>
        <v>N/A</v>
      </c>
      <c r="F35" s="210">
        <v>0</v>
      </c>
      <c r="G35" s="155" t="str">
        <f t="shared" si="1"/>
        <v>N/A</v>
      </c>
      <c r="H35" s="210">
        <v>1</v>
      </c>
      <c r="I35" s="602">
        <f t="shared" si="2"/>
        <v>1</v>
      </c>
      <c r="J35" s="210">
        <v>1</v>
      </c>
      <c r="K35" s="155">
        <f t="shared" si="3"/>
        <v>0</v>
      </c>
      <c r="L35" s="210">
        <v>3</v>
      </c>
      <c r="M35" s="155">
        <f t="shared" si="4"/>
        <v>2</v>
      </c>
    </row>
    <row r="36" spans="1:13" x14ac:dyDescent="0.25">
      <c r="A36" s="212">
        <v>1509</v>
      </c>
      <c r="B36" s="408" t="s">
        <v>1138</v>
      </c>
      <c r="C36" s="1298">
        <v>5</v>
      </c>
      <c r="D36" s="210">
        <v>3</v>
      </c>
      <c r="E36" s="155">
        <f t="shared" si="0"/>
        <v>-0.4</v>
      </c>
      <c r="F36" s="210">
        <v>6</v>
      </c>
      <c r="G36" s="155">
        <f t="shared" si="1"/>
        <v>1</v>
      </c>
      <c r="H36" s="210">
        <v>1</v>
      </c>
      <c r="I36" s="602">
        <f t="shared" si="2"/>
        <v>-0.83333333333333337</v>
      </c>
      <c r="J36" s="210">
        <v>1</v>
      </c>
      <c r="K36" s="155">
        <f t="shared" si="3"/>
        <v>0</v>
      </c>
      <c r="L36" s="210">
        <v>8</v>
      </c>
      <c r="M36" s="155">
        <f t="shared" si="4"/>
        <v>7</v>
      </c>
    </row>
    <row r="37" spans="1:13" x14ac:dyDescent="0.25">
      <c r="A37" s="212">
        <v>2206</v>
      </c>
      <c r="B37" s="408" t="s">
        <v>1077</v>
      </c>
      <c r="C37" s="1298">
        <v>7</v>
      </c>
      <c r="D37" s="210">
        <v>4</v>
      </c>
      <c r="E37" s="155">
        <f t="shared" si="0"/>
        <v>-0.42857142857142855</v>
      </c>
      <c r="F37" s="210">
        <v>3</v>
      </c>
      <c r="G37" s="155">
        <f t="shared" si="1"/>
        <v>-0.25</v>
      </c>
      <c r="H37" s="210">
        <v>3</v>
      </c>
      <c r="I37" s="602">
        <f t="shared" si="2"/>
        <v>0</v>
      </c>
      <c r="J37" s="210">
        <v>5</v>
      </c>
      <c r="K37" s="155">
        <f t="shared" si="3"/>
        <v>0.66666666666666663</v>
      </c>
      <c r="L37" s="210">
        <v>4</v>
      </c>
      <c r="M37" s="155">
        <f t="shared" si="4"/>
        <v>-0.2</v>
      </c>
    </row>
    <row r="38" spans="1:13" x14ac:dyDescent="0.25">
      <c r="B38" s="408" t="s">
        <v>1078</v>
      </c>
      <c r="C38" s="1298">
        <v>14</v>
      </c>
      <c r="D38" s="210">
        <v>13</v>
      </c>
      <c r="E38" s="155">
        <f t="shared" si="0"/>
        <v>-7.1428571428571425E-2</v>
      </c>
      <c r="F38" s="210">
        <v>7</v>
      </c>
      <c r="G38" s="155">
        <f t="shared" si="1"/>
        <v>-0.46153846153846156</v>
      </c>
      <c r="H38" s="210">
        <v>5</v>
      </c>
      <c r="I38" s="602">
        <f t="shared" si="2"/>
        <v>-0.2857142857142857</v>
      </c>
      <c r="J38" s="210">
        <v>3</v>
      </c>
      <c r="K38" s="155">
        <f t="shared" si="3"/>
        <v>-0.4</v>
      </c>
      <c r="L38" s="210">
        <v>7</v>
      </c>
      <c r="M38" s="155">
        <f t="shared" si="4"/>
        <v>1.3333333333333333</v>
      </c>
    </row>
    <row r="39" spans="1:13" x14ac:dyDescent="0.25">
      <c r="A39" s="212">
        <v>2001</v>
      </c>
      <c r="B39" s="408" t="s">
        <v>1047</v>
      </c>
      <c r="C39" s="1298">
        <v>70</v>
      </c>
      <c r="D39" s="210">
        <v>37</v>
      </c>
      <c r="E39" s="155">
        <f t="shared" si="0"/>
        <v>-0.47142857142857142</v>
      </c>
      <c r="F39" s="210">
        <v>25</v>
      </c>
      <c r="G39" s="155">
        <f t="shared" si="1"/>
        <v>-0.32432432432432434</v>
      </c>
      <c r="H39" s="210">
        <v>16</v>
      </c>
      <c r="I39" s="602">
        <f t="shared" si="2"/>
        <v>-0.36</v>
      </c>
      <c r="J39" s="210">
        <v>10</v>
      </c>
      <c r="K39" s="155">
        <f t="shared" si="3"/>
        <v>-0.375</v>
      </c>
      <c r="L39" s="210">
        <v>24</v>
      </c>
      <c r="M39" s="155">
        <f t="shared" si="4"/>
        <v>1.4</v>
      </c>
    </row>
    <row r="40" spans="1:13" x14ac:dyDescent="0.25">
      <c r="B40" s="408" t="s">
        <v>656</v>
      </c>
      <c r="C40" s="1298">
        <v>6</v>
      </c>
      <c r="D40" s="210">
        <v>4</v>
      </c>
      <c r="E40" s="155">
        <f t="shared" si="0"/>
        <v>-0.33333333333333331</v>
      </c>
      <c r="F40" s="210">
        <v>1</v>
      </c>
      <c r="G40" s="155">
        <f t="shared" si="1"/>
        <v>-0.75</v>
      </c>
      <c r="H40" s="210">
        <v>1</v>
      </c>
      <c r="I40" s="602">
        <f t="shared" si="2"/>
        <v>0</v>
      </c>
      <c r="J40" s="210">
        <v>2</v>
      </c>
      <c r="K40" s="155">
        <f t="shared" si="3"/>
        <v>1</v>
      </c>
      <c r="L40" s="210">
        <v>1</v>
      </c>
      <c r="M40" s="155">
        <f t="shared" si="4"/>
        <v>-0.5</v>
      </c>
    </row>
    <row r="41" spans="1:13" x14ac:dyDescent="0.25">
      <c r="A41" s="212">
        <v>2208</v>
      </c>
      <c r="B41" s="408" t="s">
        <v>1053</v>
      </c>
      <c r="C41" s="1298">
        <v>18</v>
      </c>
      <c r="D41" s="210">
        <v>5</v>
      </c>
      <c r="E41" s="155">
        <f t="shared" si="0"/>
        <v>-0.72222222222222221</v>
      </c>
      <c r="F41" s="210">
        <v>5</v>
      </c>
      <c r="G41" s="155">
        <f t="shared" si="1"/>
        <v>0</v>
      </c>
      <c r="H41" s="210">
        <v>3</v>
      </c>
      <c r="I41" s="602">
        <f t="shared" si="2"/>
        <v>-0.4</v>
      </c>
      <c r="J41" s="210">
        <v>4</v>
      </c>
      <c r="K41" s="155">
        <f t="shared" si="3"/>
        <v>0.33333333333333331</v>
      </c>
      <c r="L41" s="210">
        <v>4</v>
      </c>
      <c r="M41" s="155">
        <f t="shared" si="4"/>
        <v>0</v>
      </c>
    </row>
    <row r="42" spans="1:13" x14ac:dyDescent="0.25">
      <c r="A42" s="212">
        <v>1105</v>
      </c>
      <c r="B42" s="408" t="s">
        <v>1080</v>
      </c>
      <c r="C42" s="1298">
        <v>53</v>
      </c>
      <c r="D42" s="210">
        <v>24</v>
      </c>
      <c r="E42" s="155">
        <f t="shared" si="0"/>
        <v>-0.54716981132075471</v>
      </c>
      <c r="F42" s="210">
        <v>16</v>
      </c>
      <c r="G42" s="582">
        <f t="shared" si="1"/>
        <v>-0.33333333333333331</v>
      </c>
      <c r="H42" s="210">
        <v>10</v>
      </c>
      <c r="I42" s="602">
        <f t="shared" si="2"/>
        <v>-0.375</v>
      </c>
      <c r="J42" s="210">
        <v>7</v>
      </c>
      <c r="K42" s="155">
        <f t="shared" si="3"/>
        <v>-0.3</v>
      </c>
      <c r="L42" s="210">
        <v>8</v>
      </c>
      <c r="M42" s="155">
        <f t="shared" si="4"/>
        <v>0.14285714285714285</v>
      </c>
    </row>
    <row r="43" spans="1:13" x14ac:dyDescent="0.25">
      <c r="A43" s="212">
        <v>808</v>
      </c>
      <c r="B43" s="408" t="s">
        <v>1117</v>
      </c>
      <c r="C43" s="1298">
        <v>2</v>
      </c>
      <c r="D43" s="210">
        <v>2</v>
      </c>
      <c r="E43" s="582">
        <f t="shared" si="0"/>
        <v>0</v>
      </c>
      <c r="F43" s="210">
        <v>1</v>
      </c>
      <c r="G43" s="602">
        <f t="shared" si="1"/>
        <v>-0.5</v>
      </c>
      <c r="H43" s="210">
        <v>0</v>
      </c>
      <c r="I43" s="602">
        <f t="shared" si="2"/>
        <v>-1</v>
      </c>
      <c r="J43" s="210">
        <v>0</v>
      </c>
      <c r="K43" s="155" t="str">
        <f t="shared" si="3"/>
        <v>N/A</v>
      </c>
      <c r="L43" s="210">
        <v>0</v>
      </c>
      <c r="M43" s="155" t="str">
        <f t="shared" si="4"/>
        <v>N/A</v>
      </c>
    </row>
    <row r="44" spans="1:13" x14ac:dyDescent="0.25">
      <c r="A44" s="212">
        <v>1007</v>
      </c>
      <c r="B44" s="507" t="s">
        <v>1074</v>
      </c>
      <c r="C44" s="1299">
        <v>13</v>
      </c>
      <c r="D44" s="1293">
        <v>0</v>
      </c>
      <c r="E44" s="582">
        <f t="shared" si="0"/>
        <v>-1</v>
      </c>
      <c r="F44" s="1293">
        <v>0</v>
      </c>
      <c r="G44" s="582" t="str">
        <f t="shared" si="1"/>
        <v>N/A</v>
      </c>
      <c r="H44" s="1293">
        <v>0</v>
      </c>
      <c r="I44" s="582" t="str">
        <f t="shared" si="2"/>
        <v>N/A</v>
      </c>
      <c r="J44" s="1293">
        <v>0</v>
      </c>
      <c r="K44" s="155" t="str">
        <f t="shared" si="3"/>
        <v>N/A</v>
      </c>
      <c r="L44" s="1293">
        <v>0</v>
      </c>
      <c r="M44" s="155" t="str">
        <f t="shared" si="4"/>
        <v>N/A</v>
      </c>
    </row>
    <row r="45" spans="1:13" x14ac:dyDescent="0.25">
      <c r="B45" s="1292" t="s">
        <v>1450</v>
      </c>
      <c r="C45" s="1299">
        <v>0</v>
      </c>
      <c r="D45" s="1293">
        <v>0</v>
      </c>
      <c r="E45" s="582" t="str">
        <f t="shared" si="0"/>
        <v>N/A</v>
      </c>
      <c r="F45" s="1293">
        <v>0</v>
      </c>
      <c r="G45" s="582" t="str">
        <f t="shared" si="1"/>
        <v>N/A</v>
      </c>
      <c r="H45" s="1293">
        <v>2</v>
      </c>
      <c r="I45" s="582">
        <f t="shared" si="2"/>
        <v>1</v>
      </c>
      <c r="J45" s="1293">
        <v>2</v>
      </c>
      <c r="K45" s="155">
        <f t="shared" si="3"/>
        <v>0</v>
      </c>
      <c r="L45" s="1293">
        <v>1</v>
      </c>
      <c r="M45" s="155">
        <f t="shared" si="4"/>
        <v>-0.5</v>
      </c>
    </row>
    <row r="46" spans="1:13" x14ac:dyDescent="0.25">
      <c r="B46" s="981" t="s">
        <v>1451</v>
      </c>
      <c r="C46" s="1299">
        <v>0</v>
      </c>
      <c r="D46" s="1293">
        <v>0</v>
      </c>
      <c r="E46" s="582" t="str">
        <f t="shared" si="0"/>
        <v>N/A</v>
      </c>
      <c r="F46" s="1293">
        <v>0</v>
      </c>
      <c r="G46" s="582" t="str">
        <f t="shared" si="1"/>
        <v>N/A</v>
      </c>
      <c r="H46" s="1293">
        <v>2</v>
      </c>
      <c r="I46" s="582">
        <f t="shared" si="2"/>
        <v>1</v>
      </c>
      <c r="J46" s="1293">
        <v>4</v>
      </c>
      <c r="K46" s="155">
        <f t="shared" si="3"/>
        <v>1</v>
      </c>
      <c r="L46" s="1293">
        <v>4</v>
      </c>
      <c r="M46" s="155">
        <f t="shared" si="4"/>
        <v>0</v>
      </c>
    </row>
    <row r="47" spans="1:13" x14ac:dyDescent="0.25">
      <c r="A47" s="212">
        <v>1002</v>
      </c>
      <c r="B47" s="1294" t="s">
        <v>1075</v>
      </c>
      <c r="C47" s="1300">
        <v>25</v>
      </c>
      <c r="D47" s="216">
        <v>10</v>
      </c>
      <c r="E47" s="602">
        <f t="shared" si="0"/>
        <v>-0.6</v>
      </c>
      <c r="F47" s="216">
        <v>5</v>
      </c>
      <c r="G47" s="602">
        <f t="shared" si="1"/>
        <v>-0.5</v>
      </c>
      <c r="H47" s="216">
        <v>5</v>
      </c>
      <c r="I47" s="602">
        <f t="shared" si="2"/>
        <v>0</v>
      </c>
      <c r="J47" s="216">
        <v>1</v>
      </c>
      <c r="K47" s="155">
        <f t="shared" si="3"/>
        <v>-0.8</v>
      </c>
      <c r="L47" s="216">
        <v>4</v>
      </c>
      <c r="M47" s="155">
        <f t="shared" si="4"/>
        <v>3</v>
      </c>
    </row>
    <row r="48" spans="1:13" x14ac:dyDescent="0.25">
      <c r="A48" s="213">
        <v>1599</v>
      </c>
      <c r="B48" s="409" t="s">
        <v>1139</v>
      </c>
      <c r="C48" s="1298">
        <v>13</v>
      </c>
      <c r="D48" s="210">
        <v>7</v>
      </c>
      <c r="E48" s="155">
        <f t="shared" si="0"/>
        <v>-0.46153846153846156</v>
      </c>
      <c r="F48" s="210">
        <v>5</v>
      </c>
      <c r="G48" s="155">
        <f t="shared" si="1"/>
        <v>-0.2857142857142857</v>
      </c>
      <c r="H48" s="210">
        <v>3</v>
      </c>
      <c r="I48" s="602">
        <f t="shared" si="2"/>
        <v>-0.4</v>
      </c>
      <c r="J48" s="210">
        <v>0</v>
      </c>
      <c r="K48" s="155">
        <f t="shared" si="3"/>
        <v>-1</v>
      </c>
      <c r="L48" s="210">
        <v>0</v>
      </c>
      <c r="M48" s="155" t="str">
        <f t="shared" si="4"/>
        <v>N/A</v>
      </c>
    </row>
    <row r="49" spans="1:13" x14ac:dyDescent="0.25">
      <c r="B49" s="409" t="s">
        <v>1140</v>
      </c>
      <c r="C49" s="1298">
        <f>SUM(C6:C48)</f>
        <v>657</v>
      </c>
      <c r="D49" s="210">
        <f>SUM(D6:D48)</f>
        <v>305</v>
      </c>
      <c r="E49" s="155">
        <f t="shared" si="0"/>
        <v>-0.53576864535768642</v>
      </c>
      <c r="F49" s="210">
        <f>SUM(F6:F48)</f>
        <v>196</v>
      </c>
      <c r="G49" s="155">
        <f t="shared" si="1"/>
        <v>-0.35737704918032787</v>
      </c>
      <c r="H49" s="210">
        <f>SUM(H6:H48)</f>
        <v>141</v>
      </c>
      <c r="I49" s="602">
        <f t="shared" si="2"/>
        <v>-0.28061224489795916</v>
      </c>
      <c r="J49" s="210">
        <f>SUM(J6:J48)</f>
        <v>114</v>
      </c>
      <c r="K49" s="155">
        <f t="shared" si="3"/>
        <v>-0.19148936170212766</v>
      </c>
      <c r="L49" s="210">
        <f>SUM(L6:L48)</f>
        <v>160</v>
      </c>
      <c r="M49" s="155">
        <f t="shared" si="4"/>
        <v>0.40350877192982454</v>
      </c>
    </row>
    <row r="50" spans="1:13" x14ac:dyDescent="0.25">
      <c r="B50" s="409" t="s">
        <v>1141</v>
      </c>
      <c r="C50" s="1298">
        <f>1751-48</f>
        <v>1703</v>
      </c>
      <c r="D50" s="210">
        <f>2309-74</f>
        <v>2235</v>
      </c>
      <c r="E50" s="155">
        <f t="shared" si="0"/>
        <v>0.3123899001761597</v>
      </c>
      <c r="F50" s="210">
        <f>2838-F49-F51</f>
        <v>2593</v>
      </c>
      <c r="G50" s="155">
        <f t="shared" si="1"/>
        <v>0.16017897091722594</v>
      </c>
      <c r="H50" s="1291">
        <f>3060-H51-H49</f>
        <v>2855</v>
      </c>
      <c r="I50" s="602">
        <f t="shared" si="2"/>
        <v>0.10104126494408022</v>
      </c>
      <c r="J50" s="210">
        <f>3069-J51-J49</f>
        <v>2924</v>
      </c>
      <c r="K50" s="155">
        <f t="shared" si="3"/>
        <v>2.4168126094570929E-2</v>
      </c>
      <c r="L50" s="210">
        <f>3049-L51-L49</f>
        <v>2809</v>
      </c>
      <c r="M50" s="155">
        <f t="shared" si="4"/>
        <v>-3.9329685362517103E-2</v>
      </c>
    </row>
    <row r="51" spans="1:13" x14ac:dyDescent="0.25">
      <c r="B51" s="409" t="s">
        <v>1142</v>
      </c>
      <c r="C51" s="1301">
        <v>48</v>
      </c>
      <c r="D51" s="134">
        <v>74</v>
      </c>
      <c r="E51" s="155">
        <f t="shared" si="0"/>
        <v>0.54166666666666663</v>
      </c>
      <c r="F51" s="134">
        <v>49</v>
      </c>
      <c r="G51" s="155">
        <f t="shared" si="1"/>
        <v>-0.33783783783783783</v>
      </c>
      <c r="H51" s="134">
        <v>64</v>
      </c>
      <c r="I51" s="602">
        <f t="shared" si="2"/>
        <v>0.30612244897959184</v>
      </c>
      <c r="J51" s="134">
        <v>31</v>
      </c>
      <c r="K51" s="155">
        <f t="shared" si="3"/>
        <v>-0.515625</v>
      </c>
      <c r="L51" s="134">
        <v>80</v>
      </c>
      <c r="M51" s="155">
        <f t="shared" si="4"/>
        <v>1.5806451612903225</v>
      </c>
    </row>
    <row r="52" spans="1:13" x14ac:dyDescent="0.25">
      <c r="A52" s="214"/>
      <c r="B52" s="508"/>
      <c r="C52" s="1302"/>
      <c r="D52" s="404"/>
      <c r="E52" s="383"/>
      <c r="F52" s="386"/>
      <c r="G52" s="383"/>
      <c r="H52" s="386"/>
      <c r="I52" s="383"/>
      <c r="J52" s="386"/>
      <c r="K52" s="383"/>
      <c r="L52" s="386"/>
      <c r="M52" s="383"/>
    </row>
    <row r="53" spans="1:13" x14ac:dyDescent="0.25">
      <c r="A53" s="214"/>
      <c r="B53" s="509" t="s">
        <v>949</v>
      </c>
      <c r="C53" s="1303">
        <f>SUM(C49:C51)</f>
        <v>2408</v>
      </c>
      <c r="D53" s="366">
        <f>SUM(D49:D51)</f>
        <v>2614</v>
      </c>
      <c r="E53" s="155">
        <f>IF(C53&gt;0,(D53-C53)/C53,(IF(D53=0,"N/A",100%)))</f>
        <v>8.5548172757475088E-2</v>
      </c>
      <c r="F53" s="366">
        <f>SUM(F49:F51)</f>
        <v>2838</v>
      </c>
      <c r="G53" s="155">
        <f>IF(D53&gt;0,(F53-D53)/D53,(IF(F53=0,"N/A",100%)))</f>
        <v>8.5692425401683245E-2</v>
      </c>
      <c r="H53" s="366">
        <f>SUM(H49:H51)</f>
        <v>3060</v>
      </c>
      <c r="I53" s="155">
        <f>IF(F53&gt;0,(H53-F53)/F53,(IF(H53=0,"N/A",100%)))</f>
        <v>7.8224101479915431E-2</v>
      </c>
      <c r="J53" s="366">
        <f>SUM(J49:J51)</f>
        <v>3069</v>
      </c>
      <c r="K53" s="155">
        <f>IF(H53&gt;0,(J53-H53)/H53,(IF(J53=0,"N/A",100%)))</f>
        <v>2.9411764705882353E-3</v>
      </c>
      <c r="L53" s="366">
        <f>SUM(L49:L51)</f>
        <v>3049</v>
      </c>
      <c r="M53" s="155">
        <f>IF(J53&gt;0,(L53-J53)/J53,(IF(L53=0,"N/A",100%)))</f>
        <v>-6.5167807103290974E-3</v>
      </c>
    </row>
    <row r="54" spans="1:13" x14ac:dyDescent="0.25">
      <c r="A54" s="214"/>
    </row>
    <row r="55" spans="1:13" x14ac:dyDescent="0.25">
      <c r="A55" s="214"/>
      <c r="B55" s="220"/>
      <c r="C55" s="220"/>
    </row>
  </sheetData>
  <mergeCells count="6">
    <mergeCell ref="L3:M3"/>
    <mergeCell ref="B1:M1"/>
    <mergeCell ref="J3:K3"/>
    <mergeCell ref="H3:I3"/>
    <mergeCell ref="F3:G3"/>
    <mergeCell ref="D3:E3"/>
  </mergeCells>
  <phoneticPr fontId="15" type="noConversion"/>
  <printOptions horizontalCentered="1" verticalCentered="1"/>
  <pageMargins left="0.5" right="0.5" top="0.5" bottom="0.75" header="0.5" footer="0.5"/>
  <pageSetup scale="75" orientation="portrait" r:id="rId1"/>
  <headerFooter alignWithMargins="0">
    <oddFooter>&amp;L&amp;8Source: Office of Institutional Research</oddFooter>
  </headerFooter>
  <legacyDrawing r:id="rId2"/>
  <webPublishItems count="1">
    <webPublishItem id="7591" divId="2001_2002 FACT BOOK FINAL COPY_7591" sourceType="sheet" destinationFile="C:\Documents and Settings\mkirkpatrick\My Documents\2005-2006 Fact Book\2005-2006 WEB PAGES\05-06fallheadcountbyMINOR.htm"/>
  </webPublishItems>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2"/>
  <dimension ref="A1:L133"/>
  <sheetViews>
    <sheetView zoomScale="80" zoomScaleNormal="80" workbookViewId="0">
      <selection sqref="A1:L1"/>
    </sheetView>
  </sheetViews>
  <sheetFormatPr defaultRowHeight="13.2" x14ac:dyDescent="0.25"/>
  <cols>
    <col min="1" max="1" width="71.5546875" bestFit="1" customWidth="1"/>
    <col min="2" max="2" width="15.44140625" hidden="1" customWidth="1"/>
    <col min="3" max="3" width="15.44140625" customWidth="1"/>
    <col min="4" max="4" width="15.44140625" style="7" hidden="1" customWidth="1"/>
    <col min="5" max="5" width="15.44140625" customWidth="1"/>
    <col min="6" max="6" width="15.44140625" style="7" customWidth="1"/>
    <col min="7" max="7" width="15.44140625" customWidth="1"/>
    <col min="8" max="8" width="15.44140625" style="7" customWidth="1"/>
    <col min="9" max="12" width="15.5546875" customWidth="1"/>
  </cols>
  <sheetData>
    <row r="1" spans="1:12" ht="19.8" thickBot="1" x14ac:dyDescent="0.4">
      <c r="A1" s="1762" t="s">
        <v>679</v>
      </c>
      <c r="B1" s="1762"/>
      <c r="C1" s="1762"/>
      <c r="D1" s="1762"/>
      <c r="E1" s="1762"/>
      <c r="F1" s="1762"/>
      <c r="G1" s="1762"/>
      <c r="H1" s="1762"/>
      <c r="I1" s="1762"/>
      <c r="J1" s="1762"/>
      <c r="K1" s="1762"/>
      <c r="L1" s="1762"/>
    </row>
    <row r="2" spans="1:12" ht="18.75" customHeight="1" thickTop="1" thickBot="1" x14ac:dyDescent="0.35">
      <c r="A2" s="1736" t="s">
        <v>400</v>
      </c>
      <c r="B2" s="1737"/>
      <c r="C2" s="1737"/>
      <c r="D2" s="1737"/>
      <c r="E2" s="1737"/>
      <c r="F2" s="1737"/>
      <c r="G2" s="1737"/>
      <c r="H2" s="1737"/>
      <c r="I2" s="1737"/>
      <c r="J2" s="1737"/>
      <c r="K2" s="1737"/>
      <c r="L2" s="1738"/>
    </row>
    <row r="3" spans="1:12" ht="20.25" customHeight="1" thickTop="1" x14ac:dyDescent="0.3">
      <c r="A3" s="800" t="s">
        <v>401</v>
      </c>
      <c r="B3" s="673">
        <v>2008</v>
      </c>
      <c r="C3" s="673">
        <f>B3+1</f>
        <v>2009</v>
      </c>
      <c r="D3" s="802" t="s">
        <v>1046</v>
      </c>
      <c r="E3" s="673">
        <f>C3+1</f>
        <v>2010</v>
      </c>
      <c r="F3" s="802" t="s">
        <v>1046</v>
      </c>
      <c r="G3" s="673">
        <f>E3+1</f>
        <v>2011</v>
      </c>
      <c r="H3" s="801" t="s">
        <v>1046</v>
      </c>
      <c r="I3" s="673">
        <f>G3+1</f>
        <v>2012</v>
      </c>
      <c r="J3" s="952" t="s">
        <v>1046</v>
      </c>
      <c r="K3" s="673">
        <v>2013</v>
      </c>
      <c r="L3" s="803" t="s">
        <v>1046</v>
      </c>
    </row>
    <row r="4" spans="1:12" ht="17.25" customHeight="1" x14ac:dyDescent="0.3">
      <c r="A4" s="536" t="s">
        <v>402</v>
      </c>
      <c r="B4" s="537"/>
      <c r="C4" s="537"/>
      <c r="D4" s="733"/>
      <c r="E4" s="537"/>
      <c r="F4" s="733"/>
      <c r="G4" s="537"/>
      <c r="H4" s="538"/>
      <c r="I4" s="537"/>
      <c r="J4" s="538"/>
      <c r="K4" s="537"/>
      <c r="L4" s="555"/>
    </row>
    <row r="5" spans="1:12" ht="17.25" customHeight="1" x14ac:dyDescent="0.3">
      <c r="A5" s="540" t="s">
        <v>1057</v>
      </c>
      <c r="B5" s="541">
        <v>86</v>
      </c>
      <c r="C5" s="541">
        <v>89</v>
      </c>
      <c r="D5" s="734">
        <f t="shared" ref="D5:D10" si="0">IF(B5&gt;0,(C5-B5)/B5,(IF(C5=0,"N/A",100%)))</f>
        <v>3.4883720930232558E-2</v>
      </c>
      <c r="E5" s="541">
        <v>106</v>
      </c>
      <c r="F5" s="734">
        <f t="shared" ref="F5:F10" si="1">IF(C5&gt;0,(E5-C5)/C5,(IF(E5=0,"N/A",100%)))</f>
        <v>0.19101123595505617</v>
      </c>
      <c r="G5" s="541">
        <v>108</v>
      </c>
      <c r="H5" s="542">
        <f t="shared" ref="H5:H10" si="2">IF(E5&gt;0,(G5-E5)/E5,(IF(G5=0,"N/A",100%)))</f>
        <v>1.8867924528301886E-2</v>
      </c>
      <c r="I5" s="541">
        <v>87</v>
      </c>
      <c r="J5" s="542">
        <f t="shared" ref="J5:J10" si="3">IF(G5&gt;0,(I5-G5)/G5,(IF(I5=0,"N/A",100%)))</f>
        <v>-0.19444444444444445</v>
      </c>
      <c r="K5" s="541">
        <v>100</v>
      </c>
      <c r="L5" s="744">
        <f t="shared" ref="L5:L10" si="4">IF(I5&gt;0,(K5-I5)/I5,(IF(K5=0,"N/A",100%)))</f>
        <v>0.14942528735632185</v>
      </c>
    </row>
    <row r="6" spans="1:12" ht="17.25" customHeight="1" x14ac:dyDescent="0.3">
      <c r="A6" s="540" t="s">
        <v>511</v>
      </c>
      <c r="B6" s="541">
        <v>8</v>
      </c>
      <c r="C6" s="541">
        <v>16</v>
      </c>
      <c r="D6" s="734">
        <f t="shared" si="0"/>
        <v>1</v>
      </c>
      <c r="E6" s="541">
        <v>12</v>
      </c>
      <c r="F6" s="734">
        <f t="shared" si="1"/>
        <v>-0.25</v>
      </c>
      <c r="G6" s="541">
        <v>12</v>
      </c>
      <c r="H6" s="542">
        <f t="shared" si="2"/>
        <v>0</v>
      </c>
      <c r="I6" s="541">
        <v>10</v>
      </c>
      <c r="J6" s="542">
        <f t="shared" si="3"/>
        <v>-0.16666666666666666</v>
      </c>
      <c r="K6" s="541">
        <v>14</v>
      </c>
      <c r="L6" s="744">
        <f t="shared" si="4"/>
        <v>0.4</v>
      </c>
    </row>
    <row r="7" spans="1:12" ht="17.25" customHeight="1" x14ac:dyDescent="0.3">
      <c r="A7" s="540" t="s">
        <v>698</v>
      </c>
      <c r="B7" s="541">
        <v>13</v>
      </c>
      <c r="C7" s="541">
        <v>5</v>
      </c>
      <c r="D7" s="734">
        <f t="shared" si="0"/>
        <v>-0.61538461538461542</v>
      </c>
      <c r="E7" s="541">
        <v>14</v>
      </c>
      <c r="F7" s="734">
        <f t="shared" si="1"/>
        <v>1.8</v>
      </c>
      <c r="G7" s="541">
        <v>9</v>
      </c>
      <c r="H7" s="542">
        <f t="shared" si="2"/>
        <v>-0.35714285714285715</v>
      </c>
      <c r="I7" s="541">
        <v>12</v>
      </c>
      <c r="J7" s="542">
        <f t="shared" si="3"/>
        <v>0.33333333333333331</v>
      </c>
      <c r="K7" s="541">
        <v>12</v>
      </c>
      <c r="L7" s="744">
        <f t="shared" si="4"/>
        <v>0</v>
      </c>
    </row>
    <row r="8" spans="1:12" ht="17.25" customHeight="1" x14ac:dyDescent="0.3">
      <c r="A8" s="540" t="s">
        <v>1062</v>
      </c>
      <c r="B8" s="541">
        <v>0</v>
      </c>
      <c r="C8" s="541">
        <v>0</v>
      </c>
      <c r="D8" s="734" t="str">
        <f t="shared" si="0"/>
        <v>N/A</v>
      </c>
      <c r="E8" s="541">
        <v>0</v>
      </c>
      <c r="F8" s="734" t="str">
        <f t="shared" si="1"/>
        <v>N/A</v>
      </c>
      <c r="G8" s="541">
        <v>0</v>
      </c>
      <c r="H8" s="542" t="str">
        <f t="shared" si="2"/>
        <v>N/A</v>
      </c>
      <c r="I8" s="541">
        <v>0</v>
      </c>
      <c r="J8" s="542" t="str">
        <f t="shared" si="3"/>
        <v>N/A</v>
      </c>
      <c r="K8" s="541">
        <v>0</v>
      </c>
      <c r="L8" s="744" t="str">
        <f t="shared" si="4"/>
        <v>N/A</v>
      </c>
    </row>
    <row r="9" spans="1:12" ht="17.25" customHeight="1" x14ac:dyDescent="0.3">
      <c r="A9" s="540" t="s">
        <v>1063</v>
      </c>
      <c r="B9" s="541">
        <v>0</v>
      </c>
      <c r="C9" s="541">
        <v>0</v>
      </c>
      <c r="D9" s="734" t="str">
        <f t="shared" si="0"/>
        <v>N/A</v>
      </c>
      <c r="E9" s="541">
        <v>0</v>
      </c>
      <c r="F9" s="734" t="str">
        <f t="shared" si="1"/>
        <v>N/A</v>
      </c>
      <c r="G9" s="541">
        <v>0</v>
      </c>
      <c r="H9" s="542" t="str">
        <f t="shared" si="2"/>
        <v>N/A</v>
      </c>
      <c r="I9" s="541">
        <v>0</v>
      </c>
      <c r="J9" s="542" t="str">
        <f t="shared" si="3"/>
        <v>N/A</v>
      </c>
      <c r="K9" s="541">
        <v>0</v>
      </c>
      <c r="L9" s="744" t="str">
        <f t="shared" si="4"/>
        <v>N/A</v>
      </c>
    </row>
    <row r="10" spans="1:12" ht="17.25" customHeight="1" x14ac:dyDescent="0.3">
      <c r="A10" s="546" t="s">
        <v>961</v>
      </c>
      <c r="B10" s="541">
        <f>SUM(B5:B9)</f>
        <v>107</v>
      </c>
      <c r="C10" s="541">
        <f>SUM(C5:C9)</f>
        <v>110</v>
      </c>
      <c r="D10" s="734">
        <f t="shared" si="0"/>
        <v>2.8037383177570093E-2</v>
      </c>
      <c r="E10" s="541">
        <f>SUM(E5:E9)</f>
        <v>132</v>
      </c>
      <c r="F10" s="734">
        <f t="shared" si="1"/>
        <v>0.2</v>
      </c>
      <c r="G10" s="541">
        <f>SUM(G5:G9)</f>
        <v>129</v>
      </c>
      <c r="H10" s="542">
        <f t="shared" si="2"/>
        <v>-2.2727272727272728E-2</v>
      </c>
      <c r="I10" s="541">
        <f>SUM(I5:I9)</f>
        <v>109</v>
      </c>
      <c r="J10" s="542">
        <f t="shared" si="3"/>
        <v>-0.15503875968992248</v>
      </c>
      <c r="K10" s="541">
        <f>SUM(K5:K9)</f>
        <v>126</v>
      </c>
      <c r="L10" s="744">
        <f t="shared" si="4"/>
        <v>0.15596330275229359</v>
      </c>
    </row>
    <row r="11" spans="1:12" ht="17.25" customHeight="1" x14ac:dyDescent="0.3">
      <c r="A11" s="536" t="s">
        <v>403</v>
      </c>
      <c r="B11" s="537"/>
      <c r="C11" s="537"/>
      <c r="D11" s="733"/>
      <c r="E11" s="537"/>
      <c r="F11" s="733"/>
      <c r="G11" s="537"/>
      <c r="H11" s="538"/>
      <c r="I11" s="537"/>
      <c r="J11" s="538"/>
      <c r="K11" s="537"/>
      <c r="L11" s="743"/>
    </row>
    <row r="12" spans="1:12" ht="17.25" customHeight="1" x14ac:dyDescent="0.3">
      <c r="A12" s="547" t="s">
        <v>1082</v>
      </c>
      <c r="B12" s="541">
        <v>6</v>
      </c>
      <c r="C12" s="541">
        <v>16</v>
      </c>
      <c r="D12" s="734">
        <f t="shared" ref="D12:D20" si="5">IF(B12&gt;0,(C12-B12)/B12,(IF(C12=0,"N/A",100%)))</f>
        <v>1.6666666666666667</v>
      </c>
      <c r="E12" s="541">
        <v>19</v>
      </c>
      <c r="F12" s="734">
        <f t="shared" ref="F12:F20" si="6">IF(C12&gt;0,(E12-C12)/C12,(IF(E12=0,"N/A",100%)))</f>
        <v>0.1875</v>
      </c>
      <c r="G12" s="541">
        <v>14</v>
      </c>
      <c r="H12" s="542">
        <f t="shared" ref="H12:H20" si="7">IF(E12&gt;0,(G12-E12)/E12,(IF(G12=0,"N/A",100%)))</f>
        <v>-0.26315789473684209</v>
      </c>
      <c r="I12" s="541">
        <v>15</v>
      </c>
      <c r="J12" s="542">
        <f t="shared" ref="J12:J20" si="8">IF(G12&gt;0,(I12-G12)/G12,(IF(I12=0,"N/A",100%)))</f>
        <v>7.1428571428571425E-2</v>
      </c>
      <c r="K12" s="541">
        <v>16</v>
      </c>
      <c r="L12" s="744">
        <f t="shared" ref="L12:L20" si="9">IF(I12&gt;0,(K12-I12)/I12,(IF(K12=0,"N/A",100%)))</f>
        <v>6.6666666666666666E-2</v>
      </c>
    </row>
    <row r="13" spans="1:12" ht="17.25" customHeight="1" x14ac:dyDescent="0.3">
      <c r="A13" s="540" t="s">
        <v>1083</v>
      </c>
      <c r="B13" s="541">
        <v>0</v>
      </c>
      <c r="C13" s="541">
        <v>0</v>
      </c>
      <c r="D13" s="734" t="str">
        <f t="shared" si="5"/>
        <v>N/A</v>
      </c>
      <c r="E13" s="541">
        <v>0</v>
      </c>
      <c r="F13" s="734" t="str">
        <f t="shared" si="6"/>
        <v>N/A</v>
      </c>
      <c r="G13" s="541">
        <v>0</v>
      </c>
      <c r="H13" s="542" t="str">
        <f t="shared" si="7"/>
        <v>N/A</v>
      </c>
      <c r="I13" s="541">
        <v>0</v>
      </c>
      <c r="J13" s="542" t="str">
        <f t="shared" si="8"/>
        <v>N/A</v>
      </c>
      <c r="K13" s="541">
        <v>0</v>
      </c>
      <c r="L13" s="744" t="str">
        <f t="shared" si="9"/>
        <v>N/A</v>
      </c>
    </row>
    <row r="14" spans="1:12" ht="17.25" customHeight="1" x14ac:dyDescent="0.3">
      <c r="A14" s="548" t="s">
        <v>1087</v>
      </c>
      <c r="B14" s="541">
        <v>17</v>
      </c>
      <c r="C14" s="541">
        <v>19</v>
      </c>
      <c r="D14" s="734">
        <f t="shared" si="5"/>
        <v>0.11764705882352941</v>
      </c>
      <c r="E14" s="541">
        <v>18</v>
      </c>
      <c r="F14" s="734">
        <f t="shared" si="6"/>
        <v>-5.2631578947368418E-2</v>
      </c>
      <c r="G14" s="541">
        <v>14</v>
      </c>
      <c r="H14" s="542">
        <f t="shared" si="7"/>
        <v>-0.22222222222222221</v>
      </c>
      <c r="I14" s="541">
        <v>15</v>
      </c>
      <c r="J14" s="542">
        <f t="shared" si="8"/>
        <v>7.1428571428571425E-2</v>
      </c>
      <c r="K14" s="541">
        <v>20</v>
      </c>
      <c r="L14" s="744">
        <f t="shared" si="9"/>
        <v>0.33333333333333331</v>
      </c>
    </row>
    <row r="15" spans="1:12" ht="17.25" customHeight="1" x14ac:dyDescent="0.3">
      <c r="A15" s="540" t="s">
        <v>1084</v>
      </c>
      <c r="B15" s="541">
        <v>3</v>
      </c>
      <c r="C15" s="541">
        <v>4</v>
      </c>
      <c r="D15" s="734">
        <f t="shared" si="5"/>
        <v>0.33333333333333331</v>
      </c>
      <c r="E15" s="541">
        <v>0</v>
      </c>
      <c r="F15" s="734">
        <f t="shared" si="6"/>
        <v>-1</v>
      </c>
      <c r="G15" s="541">
        <v>0</v>
      </c>
      <c r="H15" s="542" t="str">
        <f t="shared" si="7"/>
        <v>N/A</v>
      </c>
      <c r="I15" s="541">
        <v>0</v>
      </c>
      <c r="J15" s="542" t="str">
        <f t="shared" si="8"/>
        <v>N/A</v>
      </c>
      <c r="K15" s="541">
        <v>0</v>
      </c>
      <c r="L15" s="744" t="str">
        <f t="shared" si="9"/>
        <v>N/A</v>
      </c>
    </row>
    <row r="16" spans="1:12" ht="17.25" customHeight="1" x14ac:dyDescent="0.3">
      <c r="A16" s="540" t="s">
        <v>248</v>
      </c>
      <c r="B16" s="541">
        <v>23</v>
      </c>
      <c r="C16" s="541">
        <v>17</v>
      </c>
      <c r="D16" s="734">
        <f t="shared" si="5"/>
        <v>-0.2608695652173913</v>
      </c>
      <c r="E16" s="541">
        <v>23</v>
      </c>
      <c r="F16" s="734">
        <f t="shared" si="6"/>
        <v>0.35294117647058826</v>
      </c>
      <c r="G16" s="541">
        <v>24</v>
      </c>
      <c r="H16" s="542">
        <f t="shared" si="7"/>
        <v>4.3478260869565216E-2</v>
      </c>
      <c r="I16" s="541">
        <v>27</v>
      </c>
      <c r="J16" s="542">
        <f t="shared" si="8"/>
        <v>0.125</v>
      </c>
      <c r="K16" s="541">
        <v>33</v>
      </c>
      <c r="L16" s="744">
        <f t="shared" si="9"/>
        <v>0.22222222222222221</v>
      </c>
    </row>
    <row r="17" spans="1:12" ht="17.25" customHeight="1" x14ac:dyDescent="0.3">
      <c r="A17" s="547" t="s">
        <v>1085</v>
      </c>
      <c r="B17" s="541">
        <v>11</v>
      </c>
      <c r="C17" s="541">
        <v>23</v>
      </c>
      <c r="D17" s="734">
        <f t="shared" si="5"/>
        <v>1.0909090909090908</v>
      </c>
      <c r="E17" s="541">
        <v>22</v>
      </c>
      <c r="F17" s="734">
        <f t="shared" si="6"/>
        <v>-4.3478260869565216E-2</v>
      </c>
      <c r="G17" s="541">
        <v>24</v>
      </c>
      <c r="H17" s="542">
        <f t="shared" si="7"/>
        <v>9.0909090909090912E-2</v>
      </c>
      <c r="I17" s="541">
        <v>21</v>
      </c>
      <c r="J17" s="542">
        <f t="shared" si="8"/>
        <v>-0.125</v>
      </c>
      <c r="K17" s="541">
        <v>28</v>
      </c>
      <c r="L17" s="744">
        <f t="shared" si="9"/>
        <v>0.33333333333333331</v>
      </c>
    </row>
    <row r="18" spans="1:12" ht="17.25" customHeight="1" x14ac:dyDescent="0.3">
      <c r="A18" s="540" t="s">
        <v>1088</v>
      </c>
      <c r="B18" s="541">
        <f>9+14</f>
        <v>23</v>
      </c>
      <c r="C18" s="541">
        <v>27</v>
      </c>
      <c r="D18" s="734">
        <f t="shared" si="5"/>
        <v>0.17391304347826086</v>
      </c>
      <c r="E18" s="541">
        <v>23</v>
      </c>
      <c r="F18" s="734">
        <f t="shared" si="6"/>
        <v>-0.14814814814814814</v>
      </c>
      <c r="G18" s="541">
        <v>26</v>
      </c>
      <c r="H18" s="542">
        <f t="shared" si="7"/>
        <v>0.13043478260869565</v>
      </c>
      <c r="I18" s="541">
        <v>24</v>
      </c>
      <c r="J18" s="542">
        <f t="shared" si="8"/>
        <v>-7.6923076923076927E-2</v>
      </c>
      <c r="K18" s="541">
        <v>20</v>
      </c>
      <c r="L18" s="744">
        <f t="shared" si="9"/>
        <v>-0.16666666666666666</v>
      </c>
    </row>
    <row r="19" spans="1:12" ht="17.25" hidden="1" customHeight="1" x14ac:dyDescent="0.3">
      <c r="A19" s="540" t="s">
        <v>699</v>
      </c>
      <c r="B19" s="541">
        <v>0</v>
      </c>
      <c r="C19" s="541">
        <v>0</v>
      </c>
      <c r="D19" s="734" t="str">
        <f t="shared" si="5"/>
        <v>N/A</v>
      </c>
      <c r="E19" s="541">
        <v>0</v>
      </c>
      <c r="F19" s="734" t="str">
        <f t="shared" si="6"/>
        <v>N/A</v>
      </c>
      <c r="G19" s="541">
        <v>0</v>
      </c>
      <c r="H19" s="542" t="str">
        <f t="shared" si="7"/>
        <v>N/A</v>
      </c>
      <c r="I19" s="541">
        <v>0</v>
      </c>
      <c r="J19" s="542" t="str">
        <f t="shared" si="8"/>
        <v>N/A</v>
      </c>
      <c r="K19" s="541">
        <v>0</v>
      </c>
      <c r="L19" s="744" t="str">
        <f t="shared" si="9"/>
        <v>N/A</v>
      </c>
    </row>
    <row r="20" spans="1:12" ht="17.25" customHeight="1" x14ac:dyDescent="0.3">
      <c r="A20" s="546" t="s">
        <v>961</v>
      </c>
      <c r="B20" s="541">
        <f>SUM(B12:B19)</f>
        <v>83</v>
      </c>
      <c r="C20" s="541">
        <f>SUM(C12:C19)</f>
        <v>106</v>
      </c>
      <c r="D20" s="734">
        <f t="shared" si="5"/>
        <v>0.27710843373493976</v>
      </c>
      <c r="E20" s="541">
        <f>SUM(E12:E19)</f>
        <v>105</v>
      </c>
      <c r="F20" s="734">
        <f t="shared" si="6"/>
        <v>-9.433962264150943E-3</v>
      </c>
      <c r="G20" s="541">
        <f>SUM(G12:G19)</f>
        <v>102</v>
      </c>
      <c r="H20" s="542">
        <f t="shared" si="7"/>
        <v>-2.8571428571428571E-2</v>
      </c>
      <c r="I20" s="541">
        <f>SUM(I12:I19)</f>
        <v>102</v>
      </c>
      <c r="J20" s="542">
        <f t="shared" si="8"/>
        <v>0</v>
      </c>
      <c r="K20" s="541">
        <f>SUM(K12:K19)</f>
        <v>117</v>
      </c>
      <c r="L20" s="744">
        <f t="shared" si="9"/>
        <v>0.14705882352941177</v>
      </c>
    </row>
    <row r="21" spans="1:12" ht="17.25" customHeight="1" x14ac:dyDescent="0.3">
      <c r="A21" s="536" t="s">
        <v>404</v>
      </c>
      <c r="B21" s="537"/>
      <c r="C21" s="537"/>
      <c r="D21" s="733"/>
      <c r="E21" s="537"/>
      <c r="F21" s="733"/>
      <c r="G21" s="537"/>
      <c r="H21" s="538"/>
      <c r="I21" s="537"/>
      <c r="J21" s="538"/>
      <c r="K21" s="537"/>
      <c r="L21" s="743"/>
    </row>
    <row r="22" spans="1:12" ht="17.25" customHeight="1" x14ac:dyDescent="0.3">
      <c r="A22" s="540" t="s">
        <v>996</v>
      </c>
      <c r="B22" s="541">
        <v>131</v>
      </c>
      <c r="C22" s="541">
        <v>133</v>
      </c>
      <c r="D22" s="734">
        <f>IF(B22&gt;0,(C22-B22)/B22,(IF(C22=0,"N/A",100%)))</f>
        <v>1.5267175572519083E-2</v>
      </c>
      <c r="E22" s="541">
        <v>151</v>
      </c>
      <c r="F22" s="734">
        <f>IF(C22&gt;0,(E22-C22)/C22,(IF(E22=0,"N/A",100%)))</f>
        <v>0.13533834586466165</v>
      </c>
      <c r="G22" s="541">
        <v>164</v>
      </c>
      <c r="H22" s="542">
        <f>IF(E22&gt;0,(G22-E22)/E22,(IF(G22=0,"N/A",100%)))</f>
        <v>8.6092715231788075E-2</v>
      </c>
      <c r="I22" s="541">
        <v>184</v>
      </c>
      <c r="J22" s="542">
        <f>IF(G22&gt;0,(I22-G22)/G22,(IF(I22=0,"N/A",100%)))</f>
        <v>0.12195121951219512</v>
      </c>
      <c r="K22" s="541">
        <v>198</v>
      </c>
      <c r="L22" s="744">
        <f>IF(I22&gt;0,(K22-I22)/I22,(IF(K22=0,"N/A",100%)))</f>
        <v>7.6086956521739135E-2</v>
      </c>
    </row>
    <row r="23" spans="1:12" ht="17.25" customHeight="1" x14ac:dyDescent="0.3">
      <c r="A23" s="540" t="s">
        <v>1089</v>
      </c>
      <c r="B23" s="541">
        <v>0</v>
      </c>
      <c r="C23" s="541">
        <v>0</v>
      </c>
      <c r="D23" s="734" t="str">
        <f>IF(B23&gt;0,(C23-B23)/B23,(IF(C23=0,"N/A",100%)))</f>
        <v>N/A</v>
      </c>
      <c r="E23" s="541">
        <v>0</v>
      </c>
      <c r="F23" s="734" t="str">
        <f>IF(C23&gt;0,(E23-C23)/C23,(IF(E23=0,"N/A",100%)))</f>
        <v>N/A</v>
      </c>
      <c r="G23" s="541">
        <v>0</v>
      </c>
      <c r="H23" s="542" t="str">
        <f>IF(E23&gt;0,(G23-E23)/E23,(IF(G23=0,"N/A",100%)))</f>
        <v>N/A</v>
      </c>
      <c r="I23" s="541">
        <v>0</v>
      </c>
      <c r="J23" s="542" t="str">
        <f>IF(G23&gt;0,(I23-G23)/G23,(IF(I23=0,"N/A",100%)))</f>
        <v>N/A</v>
      </c>
      <c r="K23" s="541">
        <v>0</v>
      </c>
      <c r="L23" s="744" t="str">
        <f>IF(I23&gt;0,(K23-I23)/I23,(IF(K23=0,"N/A",100%)))</f>
        <v>N/A</v>
      </c>
    </row>
    <row r="24" spans="1:12" ht="17.25" customHeight="1" x14ac:dyDescent="0.3">
      <c r="A24" s="540" t="s">
        <v>1318</v>
      </c>
      <c r="B24" s="541">
        <f>15+21</f>
        <v>36</v>
      </c>
      <c r="C24" s="541">
        <v>39</v>
      </c>
      <c r="D24" s="734">
        <f>IF(B24&gt;0,(C24-B24)/B24,(IF(C24=0,"N/A",100%)))</f>
        <v>8.3333333333333329E-2</v>
      </c>
      <c r="E24" s="541">
        <f>18+8</f>
        <v>26</v>
      </c>
      <c r="F24" s="734">
        <f>IF(C24&gt;0,(E24-C24)/C24,(IF(E24=0,"N/A",100%)))</f>
        <v>-0.33333333333333331</v>
      </c>
      <c r="G24" s="541">
        <v>47</v>
      </c>
      <c r="H24" s="542">
        <f>IF(E24&gt;0,(G24-E24)/E24,(IF(G24=0,"N/A",100%)))</f>
        <v>0.80769230769230771</v>
      </c>
      <c r="I24" s="541">
        <v>44</v>
      </c>
      <c r="J24" s="542">
        <f>IF(G24&gt;0,(I24-G24)/G24,(IF(I24=0,"N/A",100%)))</f>
        <v>-6.3829787234042548E-2</v>
      </c>
      <c r="K24" s="541">
        <v>43</v>
      </c>
      <c r="L24" s="744">
        <f>IF(I24&gt;0,(K24-I24)/I24,(IF(K24=0,"N/A",100%)))</f>
        <v>-2.2727272727272728E-2</v>
      </c>
    </row>
    <row r="25" spans="1:12" ht="17.25" customHeight="1" x14ac:dyDescent="0.3">
      <c r="A25" s="540" t="s">
        <v>1090</v>
      </c>
      <c r="B25" s="541">
        <v>40</v>
      </c>
      <c r="C25" s="541">
        <v>61</v>
      </c>
      <c r="D25" s="734">
        <f>IF(B25&gt;0,(C25-B25)/B25,(IF(C25=0,"N/A",100%)))</f>
        <v>0.52500000000000002</v>
      </c>
      <c r="E25" s="541">
        <v>64</v>
      </c>
      <c r="F25" s="734">
        <f>IF(C25&gt;0,(E25-C25)/C25,(IF(E25=0,"N/A",100%)))</f>
        <v>4.9180327868852458E-2</v>
      </c>
      <c r="G25" s="541">
        <v>63</v>
      </c>
      <c r="H25" s="542">
        <f>IF(E25&gt;0,(G25-E25)/E25,(IF(G25=0,"N/A",100%)))</f>
        <v>-1.5625E-2</v>
      </c>
      <c r="I25" s="541">
        <v>54</v>
      </c>
      <c r="J25" s="542">
        <f>IF(G25&gt;0,(I25-G25)/G25,(IF(I25=0,"N/A",100%)))</f>
        <v>-0.14285714285714285</v>
      </c>
      <c r="K25" s="541">
        <v>50</v>
      </c>
      <c r="L25" s="744">
        <f>IF(I25&gt;0,(K25-I25)/I25,(IF(K25=0,"N/A",100%)))</f>
        <v>-7.407407407407407E-2</v>
      </c>
    </row>
    <row r="26" spans="1:12" ht="17.25" customHeight="1" x14ac:dyDescent="0.3">
      <c r="A26" s="546" t="s">
        <v>961</v>
      </c>
      <c r="B26" s="541">
        <f>SUM(B22:B25)</f>
        <v>207</v>
      </c>
      <c r="C26" s="541">
        <f>SUM(C22:C25)</f>
        <v>233</v>
      </c>
      <c r="D26" s="734">
        <f>IF(B26&gt;0,(C26-B26)/B26,(IF(C26=0,"N/A",100%)))</f>
        <v>0.12560386473429952</v>
      </c>
      <c r="E26" s="541">
        <f>SUM(E22:E25)</f>
        <v>241</v>
      </c>
      <c r="F26" s="734">
        <f>IF(C26&gt;0,(E26-C26)/C26,(IF(E26=0,"N/A",100%)))</f>
        <v>3.4334763948497854E-2</v>
      </c>
      <c r="G26" s="541">
        <f>SUM(G22:G25)</f>
        <v>274</v>
      </c>
      <c r="H26" s="542">
        <f>IF(E26&gt;0,(G26-E26)/E26,(IF(G26=0,"N/A",100%)))</f>
        <v>0.13692946058091288</v>
      </c>
      <c r="I26" s="541">
        <f>SUM(I22:I25)</f>
        <v>282</v>
      </c>
      <c r="J26" s="542">
        <f>IF(G26&gt;0,(I26-G26)/G26,(IF(I26=0,"N/A",100%)))</f>
        <v>2.9197080291970802E-2</v>
      </c>
      <c r="K26" s="541">
        <f>SUM(K22:K25)</f>
        <v>291</v>
      </c>
      <c r="L26" s="744">
        <f>IF(I26&gt;0,(K26-I26)/I26,(IF(K26=0,"N/A",100%)))</f>
        <v>3.1914893617021274E-2</v>
      </c>
    </row>
    <row r="27" spans="1:12" ht="17.25" customHeight="1" x14ac:dyDescent="0.3">
      <c r="A27" s="536" t="s">
        <v>405</v>
      </c>
      <c r="B27" s="537"/>
      <c r="C27" s="537"/>
      <c r="D27" s="733"/>
      <c r="E27" s="537"/>
      <c r="F27" s="733"/>
      <c r="G27" s="537"/>
      <c r="H27" s="538"/>
      <c r="I27" s="537"/>
      <c r="J27" s="538"/>
      <c r="K27" s="537"/>
      <c r="L27" s="743"/>
    </row>
    <row r="28" spans="1:12" ht="17.25" customHeight="1" x14ac:dyDescent="0.3">
      <c r="A28" s="540" t="s">
        <v>1058</v>
      </c>
      <c r="B28" s="541">
        <v>38</v>
      </c>
      <c r="C28" s="541">
        <v>48</v>
      </c>
      <c r="D28" s="734">
        <f t="shared" ref="D28:D33" si="10">IF(B28&gt;0,(C28-B28)/B28,(IF(C28=0,"N/A",100%)))</f>
        <v>0.26315789473684209</v>
      </c>
      <c r="E28" s="541">
        <v>49</v>
      </c>
      <c r="F28" s="734">
        <f t="shared" ref="F28:F33" si="11">IF(C28&gt;0,(E28-C28)/C28,(IF(E28=0,"N/A",100%)))</f>
        <v>2.0833333333333332E-2</v>
      </c>
      <c r="G28" s="541">
        <v>51</v>
      </c>
      <c r="H28" s="542">
        <f t="shared" ref="H28:H33" si="12">IF(E28&gt;0,(G28-E28)/E28,(IF(G28=0,"N/A",100%)))</f>
        <v>4.0816326530612242E-2</v>
      </c>
      <c r="I28" s="541">
        <v>59</v>
      </c>
      <c r="J28" s="542">
        <f t="shared" ref="J28:J33" si="13">IF(G28&gt;0,(I28-G28)/G28,(IF(I28=0,"N/A",100%)))</f>
        <v>0.15686274509803921</v>
      </c>
      <c r="K28" s="541">
        <v>50</v>
      </c>
      <c r="L28" s="744">
        <f t="shared" ref="L28:L33" si="14">IF(I28&gt;0,(K28-I28)/I28,(IF(K28=0,"N/A",100%)))</f>
        <v>-0.15254237288135594</v>
      </c>
    </row>
    <row r="29" spans="1:12" ht="17.25" customHeight="1" x14ac:dyDescent="0.3">
      <c r="A29" s="545" t="s">
        <v>1059</v>
      </c>
      <c r="B29" s="541">
        <v>5</v>
      </c>
      <c r="C29" s="541">
        <v>2</v>
      </c>
      <c r="D29" s="734">
        <f t="shared" si="10"/>
        <v>-0.6</v>
      </c>
      <c r="E29" s="541">
        <v>3</v>
      </c>
      <c r="F29" s="734">
        <f t="shared" si="11"/>
        <v>0.5</v>
      </c>
      <c r="G29" s="541">
        <v>3</v>
      </c>
      <c r="H29" s="542">
        <f t="shared" si="12"/>
        <v>0</v>
      </c>
      <c r="I29" s="541">
        <v>6</v>
      </c>
      <c r="J29" s="542">
        <f t="shared" si="13"/>
        <v>1</v>
      </c>
      <c r="K29" s="541">
        <v>7</v>
      </c>
      <c r="L29" s="744">
        <f t="shared" si="14"/>
        <v>0.16666666666666666</v>
      </c>
    </row>
    <row r="30" spans="1:12" ht="17.25" customHeight="1" x14ac:dyDescent="0.3">
      <c r="A30" s="540" t="s">
        <v>1060</v>
      </c>
      <c r="B30" s="541">
        <v>11</v>
      </c>
      <c r="C30" s="541">
        <v>13</v>
      </c>
      <c r="D30" s="734">
        <f t="shared" si="10"/>
        <v>0.18181818181818182</v>
      </c>
      <c r="E30" s="541">
        <v>13</v>
      </c>
      <c r="F30" s="734">
        <f t="shared" si="11"/>
        <v>0</v>
      </c>
      <c r="G30" s="541">
        <v>21</v>
      </c>
      <c r="H30" s="542">
        <f t="shared" si="12"/>
        <v>0.61538461538461542</v>
      </c>
      <c r="I30" s="541">
        <v>17</v>
      </c>
      <c r="J30" s="542">
        <f t="shared" si="13"/>
        <v>-0.19047619047619047</v>
      </c>
      <c r="K30" s="541">
        <v>18</v>
      </c>
      <c r="L30" s="744">
        <f t="shared" si="14"/>
        <v>5.8823529411764705E-2</v>
      </c>
    </row>
    <row r="31" spans="1:12" ht="17.25" customHeight="1" x14ac:dyDescent="0.3">
      <c r="A31" s="540" t="s">
        <v>1068</v>
      </c>
      <c r="B31" s="541">
        <v>0</v>
      </c>
      <c r="C31" s="541">
        <v>0</v>
      </c>
      <c r="D31" s="734" t="str">
        <f t="shared" si="10"/>
        <v>N/A</v>
      </c>
      <c r="E31" s="541">
        <v>0</v>
      </c>
      <c r="F31" s="734" t="str">
        <f t="shared" si="11"/>
        <v>N/A</v>
      </c>
      <c r="G31" s="541">
        <v>0</v>
      </c>
      <c r="H31" s="542" t="str">
        <f t="shared" si="12"/>
        <v>N/A</v>
      </c>
      <c r="I31" s="541">
        <v>0</v>
      </c>
      <c r="J31" s="542" t="str">
        <f t="shared" si="13"/>
        <v>N/A</v>
      </c>
      <c r="K31" s="541">
        <v>0</v>
      </c>
      <c r="L31" s="744" t="str">
        <f t="shared" si="14"/>
        <v>N/A</v>
      </c>
    </row>
    <row r="32" spans="1:12" ht="17.25" customHeight="1" x14ac:dyDescent="0.3">
      <c r="A32" s="546" t="s">
        <v>961</v>
      </c>
      <c r="B32" s="541">
        <f>SUM(B28:B31)</f>
        <v>54</v>
      </c>
      <c r="C32" s="541">
        <f>SUM(C28:C31)</f>
        <v>63</v>
      </c>
      <c r="D32" s="734">
        <f t="shared" si="10"/>
        <v>0.16666666666666666</v>
      </c>
      <c r="E32" s="541">
        <f>SUM(E28:E31)</f>
        <v>65</v>
      </c>
      <c r="F32" s="734">
        <f t="shared" si="11"/>
        <v>3.1746031746031744E-2</v>
      </c>
      <c r="G32" s="541">
        <f>SUM(G28:G31)</f>
        <v>75</v>
      </c>
      <c r="H32" s="542">
        <f t="shared" si="12"/>
        <v>0.15384615384615385</v>
      </c>
      <c r="I32" s="541">
        <f>SUM(I28:I31)</f>
        <v>82</v>
      </c>
      <c r="J32" s="542">
        <f t="shared" si="13"/>
        <v>9.3333333333333338E-2</v>
      </c>
      <c r="K32" s="541">
        <f>SUM(K28:K31)</f>
        <v>75</v>
      </c>
      <c r="L32" s="744">
        <f t="shared" si="14"/>
        <v>-8.5365853658536592E-2</v>
      </c>
    </row>
    <row r="33" spans="1:12" ht="17.25" customHeight="1" thickBot="1" x14ac:dyDescent="0.35">
      <c r="A33" s="857" t="s">
        <v>406</v>
      </c>
      <c r="B33" s="670">
        <f>+B32+B26+B20+B10</f>
        <v>451</v>
      </c>
      <c r="C33" s="670">
        <f>+C32+C26+C20+C10</f>
        <v>512</v>
      </c>
      <c r="D33" s="858">
        <f t="shared" si="10"/>
        <v>0.1352549889135255</v>
      </c>
      <c r="E33" s="670">
        <f>+E32+E26+E20+E10</f>
        <v>543</v>
      </c>
      <c r="F33" s="858">
        <f t="shared" si="11"/>
        <v>6.0546875E-2</v>
      </c>
      <c r="G33" s="670">
        <f>+G32+G26+G20+G10</f>
        <v>580</v>
      </c>
      <c r="H33" s="1358">
        <f t="shared" si="12"/>
        <v>6.8139963167587483E-2</v>
      </c>
      <c r="I33" s="670">
        <f>+I32+I26+I20+I10</f>
        <v>575</v>
      </c>
      <c r="J33" s="556">
        <f t="shared" si="13"/>
        <v>-8.6206896551724137E-3</v>
      </c>
      <c r="K33" s="670">
        <f>+K32+K26+K20+K10</f>
        <v>609</v>
      </c>
      <c r="L33" s="1391">
        <f t="shared" si="14"/>
        <v>5.9130434782608696E-2</v>
      </c>
    </row>
    <row r="34" spans="1:12" ht="18.75" customHeight="1" thickTop="1" thickBot="1" x14ac:dyDescent="0.35">
      <c r="A34" s="1736" t="s">
        <v>407</v>
      </c>
      <c r="B34" s="1737"/>
      <c r="C34" s="1737"/>
      <c r="D34" s="1737"/>
      <c r="E34" s="1737"/>
      <c r="F34" s="1737"/>
      <c r="G34" s="1737"/>
      <c r="H34" s="1737"/>
      <c r="I34" s="1737"/>
      <c r="J34" s="1737"/>
      <c r="K34" s="1737"/>
      <c r="L34" s="1738"/>
    </row>
    <row r="35" spans="1:12" ht="17.25" customHeight="1" thickTop="1" x14ac:dyDescent="0.3">
      <c r="A35" s="800" t="s">
        <v>401</v>
      </c>
      <c r="B35" s="673">
        <v>2008</v>
      </c>
      <c r="C35" s="673">
        <f>B35+1</f>
        <v>2009</v>
      </c>
      <c r="D35" s="802" t="s">
        <v>1046</v>
      </c>
      <c r="E35" s="673">
        <f>C35+1</f>
        <v>2010</v>
      </c>
      <c r="F35" s="802" t="s">
        <v>1046</v>
      </c>
      <c r="G35" s="673">
        <f>E35+1</f>
        <v>2011</v>
      </c>
      <c r="H35" s="801" t="s">
        <v>1046</v>
      </c>
      <c r="I35" s="673">
        <f>G35+1</f>
        <v>2012</v>
      </c>
      <c r="J35" s="952" t="s">
        <v>1046</v>
      </c>
      <c r="K35" s="673">
        <v>2013</v>
      </c>
      <c r="L35" s="803" t="s">
        <v>1046</v>
      </c>
    </row>
    <row r="36" spans="1:12" ht="17.25" customHeight="1" x14ac:dyDescent="0.3">
      <c r="A36" s="536" t="s">
        <v>408</v>
      </c>
      <c r="B36" s="537"/>
      <c r="C36" s="537"/>
      <c r="D36" s="733"/>
      <c r="E36" s="537"/>
      <c r="F36" s="733"/>
      <c r="G36" s="537"/>
      <c r="H36" s="538"/>
      <c r="I36" s="537"/>
      <c r="J36" s="538"/>
      <c r="K36" s="537"/>
      <c r="L36" s="539"/>
    </row>
    <row r="37" spans="1:12" ht="17.25" customHeight="1" x14ac:dyDescent="0.3">
      <c r="A37" s="545" t="s">
        <v>1074</v>
      </c>
      <c r="B37" s="541">
        <v>0</v>
      </c>
      <c r="C37" s="541">
        <v>0</v>
      </c>
      <c r="D37" s="734" t="str">
        <f>IF(B37&gt;0,(C37-B37)/B37,(IF(C37=0,"N/A",100%)))</f>
        <v>N/A</v>
      </c>
      <c r="E37" s="541">
        <v>0</v>
      </c>
      <c r="F37" s="734" t="str">
        <f>IF(C37&gt;0,(E37-C37)/C37,(IF(E37=0,"N/A",100%)))</f>
        <v>N/A</v>
      </c>
      <c r="G37" s="541">
        <v>0</v>
      </c>
      <c r="H37" s="542" t="str">
        <f>IF(E37&gt;0,(G37-E37)/E37,(IF(G37=0,"N/A",100%)))</f>
        <v>N/A</v>
      </c>
      <c r="I37" s="541">
        <v>0</v>
      </c>
      <c r="J37" s="542" t="str">
        <f>IF(G37&gt;0,(I37-G37)/G37,(IF(I37=0,"N/A",100%)))</f>
        <v>N/A</v>
      </c>
      <c r="K37" s="541">
        <v>0</v>
      </c>
      <c r="L37" s="1392" t="str">
        <f>IF(I37&gt;0,(K37-I37)/I37,(IF(K37=0,"N/A",100%)))</f>
        <v>N/A</v>
      </c>
    </row>
    <row r="38" spans="1:12" ht="17.25" customHeight="1" x14ac:dyDescent="0.3">
      <c r="A38" s="540" t="s">
        <v>1075</v>
      </c>
      <c r="B38" s="541">
        <f>56+7</f>
        <v>63</v>
      </c>
      <c r="C38" s="541">
        <v>56</v>
      </c>
      <c r="D38" s="734">
        <f>IF(B38&gt;0,(C38-B38)/B38,(IF(C38=0,"N/A",100%)))</f>
        <v>-0.1111111111111111</v>
      </c>
      <c r="E38" s="541">
        <v>55</v>
      </c>
      <c r="F38" s="734">
        <f>IF(C38&gt;0,(E38-C38)/C38,(IF(E38=0,"N/A",100%)))</f>
        <v>-1.7857142857142856E-2</v>
      </c>
      <c r="G38" s="541">
        <v>48</v>
      </c>
      <c r="H38" s="542">
        <f>IF(E38&gt;0,(G38-E38)/E38,(IF(G38=0,"N/A",100%)))</f>
        <v>-0.12727272727272726</v>
      </c>
      <c r="I38" s="541">
        <v>48</v>
      </c>
      <c r="J38" s="542">
        <f>IF(G38&gt;0,(I38-G38)/G38,(IF(I38=0,"N/A",100%)))</f>
        <v>0</v>
      </c>
      <c r="K38" s="541">
        <f>36+7</f>
        <v>43</v>
      </c>
      <c r="L38" s="744">
        <f>IF(I38&gt;0,(K38-I38)/I38,(IF(K38=0,"N/A",100%)))</f>
        <v>-0.10416666666666667</v>
      </c>
    </row>
    <row r="39" spans="1:12" ht="17.25" customHeight="1" x14ac:dyDescent="0.3">
      <c r="A39" s="953" t="s">
        <v>1016</v>
      </c>
      <c r="B39" s="833">
        <v>3</v>
      </c>
      <c r="C39" s="833">
        <v>20</v>
      </c>
      <c r="D39" s="955">
        <f>IF(B39&gt;0,(C39-B39)/B39,(IF(C39=0,"N/A",100%)))</f>
        <v>5.666666666666667</v>
      </c>
      <c r="E39" s="833">
        <v>28</v>
      </c>
      <c r="F39" s="955">
        <f>IF(C39&gt;0,(E39-C39)/C39,(IF(E39=0,"N/A",100%)))</f>
        <v>0.4</v>
      </c>
      <c r="G39" s="833">
        <v>43</v>
      </c>
      <c r="H39" s="954">
        <f>IF(E39&gt;0,(G39-E39)/E39,(IF(G39=0,"N/A",100%)))</f>
        <v>0.5357142857142857</v>
      </c>
      <c r="I39" s="833">
        <v>50</v>
      </c>
      <c r="J39" s="954">
        <f>IF(G39&gt;0,(I39-G39)/G39,(IF(I39=0,"N/A",100%)))</f>
        <v>0.16279069767441862</v>
      </c>
      <c r="K39" s="833">
        <v>49</v>
      </c>
      <c r="L39" s="1393">
        <f>IF(I39&gt;0,(K39-I39)/I39,(IF(K39=0,"N/A",100%)))</f>
        <v>-0.02</v>
      </c>
    </row>
    <row r="40" spans="1:12" ht="17.25" customHeight="1" x14ac:dyDescent="0.3">
      <c r="A40" s="546" t="s">
        <v>961</v>
      </c>
      <c r="B40" s="541">
        <f>SUM(B37:B39)</f>
        <v>66</v>
      </c>
      <c r="C40" s="541">
        <f>SUM(C37:C39)</f>
        <v>76</v>
      </c>
      <c r="D40" s="734">
        <f>IF(B40&gt;0,(C40-B40)/B40,(IF(C40=0,"N/A",100%)))</f>
        <v>0.15151515151515152</v>
      </c>
      <c r="E40" s="541">
        <f>SUM(E37:E39)</f>
        <v>83</v>
      </c>
      <c r="F40" s="734">
        <f>IF(C40&gt;0,(E40-C40)/C40,(IF(E40=0,"N/A",100%)))</f>
        <v>9.2105263157894732E-2</v>
      </c>
      <c r="G40" s="541">
        <f>SUM(G37:G39)</f>
        <v>91</v>
      </c>
      <c r="H40" s="542">
        <f>IF(E40&gt;0,(G40-E40)/E40,(IF(G40=0,"N/A",100%)))</f>
        <v>9.6385542168674704E-2</v>
      </c>
      <c r="I40" s="541">
        <f>SUM(I37:I39)</f>
        <v>98</v>
      </c>
      <c r="J40" s="542">
        <f>IF(G40&gt;0,(I40-G40)/G40,(IF(I40=0,"N/A",100%)))</f>
        <v>7.6923076923076927E-2</v>
      </c>
      <c r="K40" s="541">
        <f>SUM(K37:K39)</f>
        <v>92</v>
      </c>
      <c r="L40" s="744">
        <f>IF(I40&gt;0,(K40-I40)/I40,(IF(K40=0,"N/A",100%)))</f>
        <v>-6.1224489795918366E-2</v>
      </c>
    </row>
    <row r="41" spans="1:12" ht="17.25" customHeight="1" x14ac:dyDescent="0.3">
      <c r="A41" s="536" t="s">
        <v>409</v>
      </c>
      <c r="B41" s="537"/>
      <c r="C41" s="537"/>
      <c r="D41" s="733"/>
      <c r="E41" s="537"/>
      <c r="F41" s="733"/>
      <c r="G41" s="537"/>
      <c r="H41" s="538"/>
      <c r="I41" s="537"/>
      <c r="J41" s="538"/>
      <c r="K41" s="537"/>
      <c r="L41" s="743"/>
    </row>
    <row r="42" spans="1:12" ht="17.25" customHeight="1" x14ac:dyDescent="0.3">
      <c r="A42" s="540" t="s">
        <v>1079</v>
      </c>
      <c r="B42" s="541">
        <v>27</v>
      </c>
      <c r="C42" s="541">
        <f>15+24</f>
        <v>39</v>
      </c>
      <c r="D42" s="734">
        <f>IF(B42&gt;0,(C42-B42)/B42,(IF(C42=0,"N/A",100%)))</f>
        <v>0.44444444444444442</v>
      </c>
      <c r="E42" s="541">
        <f>17+21</f>
        <v>38</v>
      </c>
      <c r="F42" s="734">
        <f>IF(C42&gt;0,(E42-C42)/C42,(IF(E42=0,"N/A",100%)))</f>
        <v>-2.564102564102564E-2</v>
      </c>
      <c r="G42" s="541">
        <f>19+23</f>
        <v>42</v>
      </c>
      <c r="H42" s="542">
        <f>IF(E42&gt;0,(G42-E42)/E42,(IF(G42=0,"N/A",100%)))</f>
        <v>0.10526315789473684</v>
      </c>
      <c r="I42" s="541">
        <v>42</v>
      </c>
      <c r="J42" s="542">
        <f>IF(G42&gt;0,(I42-G42)/G42,(IF(I42=0,"N/A",100%)))</f>
        <v>0</v>
      </c>
      <c r="K42" s="541">
        <v>40</v>
      </c>
      <c r="L42" s="744">
        <f>IF(I42&gt;0,(K42-I42)/I42,(IF(K42=0,"N/A",100%)))</f>
        <v>-4.7619047619047616E-2</v>
      </c>
    </row>
    <row r="43" spans="1:12" ht="17.25" customHeight="1" x14ac:dyDescent="0.3">
      <c r="A43" s="540" t="s">
        <v>717</v>
      </c>
      <c r="B43" s="541">
        <v>0</v>
      </c>
      <c r="C43" s="541">
        <v>2</v>
      </c>
      <c r="D43" s="734">
        <f>IF(B43&gt;0,(C43-B43)/B43,(IF(C43=0,"N/A",100%)))</f>
        <v>1</v>
      </c>
      <c r="E43" s="541">
        <v>0</v>
      </c>
      <c r="F43" s="734">
        <f>IF(C43&gt;0,(E43-C43)/C43,(IF(E43=0,"N/A",100%)))</f>
        <v>-1</v>
      </c>
      <c r="G43" s="541">
        <v>0</v>
      </c>
      <c r="H43" s="542" t="str">
        <f>IF(E43&gt;0,(G43-E43)/E43,(IF(G43=0,"N/A",100%)))</f>
        <v>N/A</v>
      </c>
      <c r="I43" s="541">
        <v>0</v>
      </c>
      <c r="J43" s="542" t="str">
        <f>IF(G43&gt;0,(I43-G43)/G43,(IF(I43=0,"N/A",100%)))</f>
        <v>N/A</v>
      </c>
      <c r="K43" s="541">
        <v>0</v>
      </c>
      <c r="L43" s="744" t="str">
        <f>IF(I43&gt;0,(K43-I43)/I43,(IF(K43=0,"N/A",100%)))</f>
        <v>N/A</v>
      </c>
    </row>
    <row r="44" spans="1:12" ht="17.25" customHeight="1" x14ac:dyDescent="0.3">
      <c r="A44" s="540" t="s">
        <v>817</v>
      </c>
      <c r="B44" s="541">
        <v>7</v>
      </c>
      <c r="C44" s="541">
        <v>8</v>
      </c>
      <c r="D44" s="734">
        <f>IF(B44&gt;0,(C44-B44)/B44,(IF(C44=0,"N/A",100%)))</f>
        <v>0.14285714285714285</v>
      </c>
      <c r="E44" s="541">
        <v>15</v>
      </c>
      <c r="F44" s="734">
        <f>IF(C44&gt;0,(E44-C44)/C44,(IF(E44=0,"N/A",100%)))</f>
        <v>0.875</v>
      </c>
      <c r="G44" s="541">
        <v>14</v>
      </c>
      <c r="H44" s="542">
        <f>IF(E44&gt;0,(G44-E44)/E44,(IF(G44=0,"N/A",100%)))</f>
        <v>-6.6666666666666666E-2</v>
      </c>
      <c r="I44" s="541">
        <v>18</v>
      </c>
      <c r="J44" s="542">
        <f>IF(G44&gt;0,(I44-G44)/G44,(IF(I44=0,"N/A",100%)))</f>
        <v>0.2857142857142857</v>
      </c>
      <c r="K44" s="541">
        <v>23</v>
      </c>
      <c r="L44" s="744">
        <f>IF(I44&gt;0,(K44-I44)/I44,(IF(K44=0,"N/A",100%)))</f>
        <v>0.27777777777777779</v>
      </c>
    </row>
    <row r="45" spans="1:12" ht="17.25" customHeight="1" x14ac:dyDescent="0.3">
      <c r="A45" s="540" t="s">
        <v>1080</v>
      </c>
      <c r="B45" s="541">
        <v>9</v>
      </c>
      <c r="C45" s="541">
        <v>7</v>
      </c>
      <c r="D45" s="734">
        <f>IF(B45&gt;0,(C45-B45)/B45,(IF(C45=0,"N/A",100%)))</f>
        <v>-0.22222222222222221</v>
      </c>
      <c r="E45" s="541">
        <v>9</v>
      </c>
      <c r="F45" s="734">
        <f>IF(C45&gt;0,(E45-C45)/C45,(IF(E45=0,"N/A",100%)))</f>
        <v>0.2857142857142857</v>
      </c>
      <c r="G45" s="541">
        <v>10</v>
      </c>
      <c r="H45" s="542">
        <f>IF(E45&gt;0,(G45-E45)/E45,(IF(G45=0,"N/A",100%)))</f>
        <v>0.1111111111111111</v>
      </c>
      <c r="I45" s="541">
        <v>13</v>
      </c>
      <c r="J45" s="542">
        <f>IF(G45&gt;0,(I45-G45)/G45,(IF(I45=0,"N/A",100%)))</f>
        <v>0.3</v>
      </c>
      <c r="K45" s="541">
        <v>13</v>
      </c>
      <c r="L45" s="744">
        <f>IF(I45&gt;0,(K45-I45)/I45,(IF(K45=0,"N/A",100%)))</f>
        <v>0</v>
      </c>
    </row>
    <row r="46" spans="1:12" ht="17.25" customHeight="1" x14ac:dyDescent="0.3">
      <c r="A46" s="546" t="s">
        <v>961</v>
      </c>
      <c r="B46" s="541">
        <f>SUM(B42:B45)</f>
        <v>43</v>
      </c>
      <c r="C46" s="541">
        <f>SUM(C42:C45)</f>
        <v>56</v>
      </c>
      <c r="D46" s="734">
        <f>IF(B46&gt;0,(C46-B46)/B46,(IF(C46=0,"N/A",100%)))</f>
        <v>0.30232558139534882</v>
      </c>
      <c r="E46" s="541">
        <f>SUM(E42:E45)</f>
        <v>62</v>
      </c>
      <c r="F46" s="734">
        <f>IF(C46&gt;0,(E46-C46)/C46,(IF(E46=0,"N/A",100%)))</f>
        <v>0.10714285714285714</v>
      </c>
      <c r="G46" s="541">
        <f>SUM(G42:G45)</f>
        <v>66</v>
      </c>
      <c r="H46" s="542">
        <f>IF(E46&gt;0,(G46-E46)/E46,(IF(G46=0,"N/A",100%)))</f>
        <v>6.4516129032258063E-2</v>
      </c>
      <c r="I46" s="541">
        <f>SUM(I42:I45)</f>
        <v>73</v>
      </c>
      <c r="J46" s="542">
        <f>IF(G46&gt;0,(I46-G46)/G46,(IF(I46=0,"N/A",100%)))</f>
        <v>0.10606060606060606</v>
      </c>
      <c r="K46" s="541">
        <f>SUM(K42:K45)</f>
        <v>76</v>
      </c>
      <c r="L46" s="744">
        <f>IF(I46&gt;0,(K46-I46)/I46,(IF(K46=0,"N/A",100%)))</f>
        <v>4.1095890410958902E-2</v>
      </c>
    </row>
    <row r="47" spans="1:12" ht="17.25" customHeight="1" x14ac:dyDescent="0.3">
      <c r="A47" s="536" t="s">
        <v>410</v>
      </c>
      <c r="B47" s="537"/>
      <c r="C47" s="537"/>
      <c r="D47" s="733"/>
      <c r="E47" s="537"/>
      <c r="F47" s="733"/>
      <c r="G47" s="537"/>
      <c r="H47" s="538"/>
      <c r="I47" s="537"/>
      <c r="J47" s="538"/>
      <c r="K47" s="537"/>
      <c r="L47" s="743"/>
    </row>
    <row r="48" spans="1:12" ht="17.25" customHeight="1" x14ac:dyDescent="0.3">
      <c r="A48" s="540" t="s">
        <v>1076</v>
      </c>
      <c r="B48" s="541">
        <f>38+16</f>
        <v>54</v>
      </c>
      <c r="C48" s="541">
        <f>42+29</f>
        <v>71</v>
      </c>
      <c r="D48" s="734">
        <f>IF(B48&gt;0,(C48-B48)/B48,(IF(C48=0,"N/A",100%)))</f>
        <v>0.31481481481481483</v>
      </c>
      <c r="E48" s="541">
        <f>45+35</f>
        <v>80</v>
      </c>
      <c r="F48" s="734">
        <f>IF(C48&gt;0,(E48-C48)/C48,(IF(E48=0,"N/A",100%)))</f>
        <v>0.12676056338028169</v>
      </c>
      <c r="G48" s="541">
        <v>77</v>
      </c>
      <c r="H48" s="542">
        <f>IF(E48&gt;0,(G48-E48)/E48,(IF(G48=0,"N/A",100%)))</f>
        <v>-3.7499999999999999E-2</v>
      </c>
      <c r="I48" s="541">
        <v>77</v>
      </c>
      <c r="J48" s="542">
        <f>IF(G48&gt;0,(I48-G48)/G48,(IF(I48=0,"N/A",100%)))</f>
        <v>0</v>
      </c>
      <c r="K48" s="541">
        <v>84</v>
      </c>
      <c r="L48" s="744">
        <f>IF(I48&gt;0,(K48-I48)/I48,(IF(K48=0,"N/A",100%)))</f>
        <v>9.0909090909090912E-2</v>
      </c>
    </row>
    <row r="49" spans="1:12" ht="17.25" customHeight="1" x14ac:dyDescent="0.3">
      <c r="A49" s="540" t="s">
        <v>718</v>
      </c>
      <c r="B49" s="541">
        <v>4</v>
      </c>
      <c r="C49" s="541">
        <v>1</v>
      </c>
      <c r="D49" s="734">
        <f>IF(B49&gt;0,(C49-B49)/B49,(IF(C49=0,"N/A",100%)))</f>
        <v>-0.75</v>
      </c>
      <c r="E49" s="541">
        <v>1</v>
      </c>
      <c r="F49" s="734">
        <f>IF(C49&gt;0,(E49-C49)/C49,(IF(E49=0,"N/A",100%)))</f>
        <v>0</v>
      </c>
      <c r="G49" s="541">
        <v>0</v>
      </c>
      <c r="H49" s="542">
        <f>IF(E49&gt;0,(G49-E49)/E49,(IF(G49=0,"N/A",100%)))</f>
        <v>-1</v>
      </c>
      <c r="I49" s="541">
        <v>0</v>
      </c>
      <c r="J49" s="542" t="str">
        <f>IF(G49&gt;0,(I49-G49)/G49,(IF(I49=0,"N/A",100%)))</f>
        <v>N/A</v>
      </c>
      <c r="K49" s="541">
        <v>0</v>
      </c>
      <c r="L49" s="744" t="str">
        <f>IF(I49&gt;0,(K49-I49)/I49,(IF(K49=0,"N/A",100%)))</f>
        <v>N/A</v>
      </c>
    </row>
    <row r="50" spans="1:12" ht="17.25" customHeight="1" x14ac:dyDescent="0.3">
      <c r="A50" s="546" t="s">
        <v>961</v>
      </c>
      <c r="B50" s="541">
        <f>+B49+B48</f>
        <v>58</v>
      </c>
      <c r="C50" s="541">
        <f>+C49+C48</f>
        <v>72</v>
      </c>
      <c r="D50" s="734">
        <f>IF(B50&gt;0,(C50-B50)/B50,(IF(C50=0,"N/A",100%)))</f>
        <v>0.2413793103448276</v>
      </c>
      <c r="E50" s="541">
        <f>+E49+E48</f>
        <v>81</v>
      </c>
      <c r="F50" s="734">
        <f>IF(C50&gt;0,(E50-C50)/C50,(IF(E50=0,"N/A",100%)))</f>
        <v>0.125</v>
      </c>
      <c r="G50" s="541">
        <f>+G49+G48</f>
        <v>77</v>
      </c>
      <c r="H50" s="542">
        <f>IF(E50&gt;0,(G50-E50)/E50,(IF(G50=0,"N/A",100%)))</f>
        <v>-4.9382716049382713E-2</v>
      </c>
      <c r="I50" s="541">
        <f>+I49+I48</f>
        <v>77</v>
      </c>
      <c r="J50" s="542">
        <f>IF(G50&gt;0,(I50-G50)/G50,(IF(I50=0,"N/A",100%)))</f>
        <v>0</v>
      </c>
      <c r="K50" s="541">
        <f>+K49+K48</f>
        <v>84</v>
      </c>
      <c r="L50" s="744">
        <f>IF(I50&gt;0,(K50-I50)/I50,(IF(K50=0,"N/A",100%)))</f>
        <v>9.0909090909090912E-2</v>
      </c>
    </row>
    <row r="51" spans="1:12" ht="17.25" customHeight="1" x14ac:dyDescent="0.3">
      <c r="A51" s="536" t="s">
        <v>411</v>
      </c>
      <c r="B51" s="537"/>
      <c r="C51" s="537"/>
      <c r="D51" s="733"/>
      <c r="E51" s="537"/>
      <c r="F51" s="733"/>
      <c r="G51" s="537"/>
      <c r="H51" s="538"/>
      <c r="I51" s="537"/>
      <c r="J51" s="538"/>
      <c r="K51" s="537"/>
      <c r="L51" s="743"/>
    </row>
    <row r="52" spans="1:12" ht="17.25" customHeight="1" x14ac:dyDescent="0.3">
      <c r="A52" s="540" t="s">
        <v>1004</v>
      </c>
      <c r="B52" s="541">
        <v>3</v>
      </c>
      <c r="C52" s="541">
        <v>1</v>
      </c>
      <c r="D52" s="734">
        <f>IF(B52&gt;0,(C52-B52)/B52,(IF(C52=0,"N/A",100%)))</f>
        <v>-0.66666666666666663</v>
      </c>
      <c r="E52" s="541">
        <v>0</v>
      </c>
      <c r="F52" s="734">
        <f>IF(C52&gt;0,(E52-C52)/C52,(IF(E52=0,"N/A",100%)))</f>
        <v>-1</v>
      </c>
      <c r="G52" s="541">
        <v>0</v>
      </c>
      <c r="H52" s="542" t="str">
        <f>IF(E52&gt;0,(G52-E52)/E52,(IF(G52=0,"N/A",100%)))</f>
        <v>N/A</v>
      </c>
      <c r="I52" s="541">
        <v>0</v>
      </c>
      <c r="J52" s="542" t="str">
        <f>IF(G52&gt;0,(I52-G52)/G52,(IF(I52=0,"N/A",100%)))</f>
        <v>N/A</v>
      </c>
      <c r="K52" s="541">
        <v>0</v>
      </c>
      <c r="L52" s="744" t="str">
        <f>IF(I52&gt;0,(K52-I52)/I52,(IF(K52=0,"N/A",100%)))</f>
        <v>N/A</v>
      </c>
    </row>
    <row r="53" spans="1:12" ht="17.25" customHeight="1" x14ac:dyDescent="0.3">
      <c r="A53" s="540" t="s">
        <v>1070</v>
      </c>
      <c r="B53" s="541">
        <v>101</v>
      </c>
      <c r="C53" s="541">
        <v>111</v>
      </c>
      <c r="D53" s="734">
        <f>IF(B53&gt;0,(C53-B53)/B53,(IF(C53=0,"N/A",100%)))</f>
        <v>9.9009900990099015E-2</v>
      </c>
      <c r="E53" s="541">
        <v>124</v>
      </c>
      <c r="F53" s="734">
        <f>IF(C53&gt;0,(E53-C53)/C53,(IF(E53=0,"N/A",100%)))</f>
        <v>0.11711711711711711</v>
      </c>
      <c r="G53" s="541">
        <v>132</v>
      </c>
      <c r="H53" s="542">
        <f>IF(E53&gt;0,(G53-E53)/E53,(IF(G53=0,"N/A",100%)))</f>
        <v>6.4516129032258063E-2</v>
      </c>
      <c r="I53" s="541">
        <v>150</v>
      </c>
      <c r="J53" s="542">
        <f>IF(G53&gt;0,(I53-G53)/G53,(IF(I53=0,"N/A",100%)))</f>
        <v>0.13636363636363635</v>
      </c>
      <c r="K53" s="541">
        <v>147</v>
      </c>
      <c r="L53" s="744">
        <f>IF(I53&gt;0,(K53-I53)/I53,(IF(K53=0,"N/A",100%)))</f>
        <v>-0.02</v>
      </c>
    </row>
    <row r="54" spans="1:12" ht="17.25" customHeight="1" x14ac:dyDescent="0.3">
      <c r="A54" s="540" t="s">
        <v>1071</v>
      </c>
      <c r="B54" s="541">
        <v>18</v>
      </c>
      <c r="C54" s="541">
        <v>17</v>
      </c>
      <c r="D54" s="734">
        <f>IF(B54&gt;0,(C54-B54)/B54,(IF(C54=0,"N/A",100%)))</f>
        <v>-5.5555555555555552E-2</v>
      </c>
      <c r="E54" s="541">
        <v>20</v>
      </c>
      <c r="F54" s="734">
        <f>IF(C54&gt;0,(E54-C54)/C54,(IF(E54=0,"N/A",100%)))</f>
        <v>0.17647058823529413</v>
      </c>
      <c r="G54" s="541">
        <v>25</v>
      </c>
      <c r="H54" s="542">
        <f>IF(E54&gt;0,(G54-E54)/E54,(IF(G54=0,"N/A",100%)))</f>
        <v>0.25</v>
      </c>
      <c r="I54" s="541">
        <v>19</v>
      </c>
      <c r="J54" s="542">
        <f>IF(G54&gt;0,(I54-G54)/G54,(IF(I54=0,"N/A",100%)))</f>
        <v>-0.24</v>
      </c>
      <c r="K54" s="541">
        <v>24</v>
      </c>
      <c r="L54" s="744">
        <f>IF(I54&gt;0,(K54-I54)/I54,(IF(K54=0,"N/A",100%)))</f>
        <v>0.26315789473684209</v>
      </c>
    </row>
    <row r="55" spans="1:12" ht="17.25" customHeight="1" x14ac:dyDescent="0.3">
      <c r="A55" s="546" t="s">
        <v>961</v>
      </c>
      <c r="B55" s="541">
        <f>SUM(B52:B54)</f>
        <v>122</v>
      </c>
      <c r="C55" s="541">
        <f>SUM(C52:C54)</f>
        <v>129</v>
      </c>
      <c r="D55" s="734">
        <f>IF(B55&gt;0,(C55-B55)/B55,(IF(C55=0,"N/A",100%)))</f>
        <v>5.737704918032787E-2</v>
      </c>
      <c r="E55" s="541">
        <f>SUM(E52:E54)</f>
        <v>144</v>
      </c>
      <c r="F55" s="734">
        <f>IF(C55&gt;0,(E55-C55)/C55,(IF(E55=0,"N/A",100%)))</f>
        <v>0.11627906976744186</v>
      </c>
      <c r="G55" s="541">
        <f>SUM(G52:G54)</f>
        <v>157</v>
      </c>
      <c r="H55" s="542">
        <f>IF(E55&gt;0,(G55-E55)/E55,(IF(G55=0,"N/A",100%)))</f>
        <v>9.0277777777777776E-2</v>
      </c>
      <c r="I55" s="541">
        <f>SUM(I52:I54)</f>
        <v>169</v>
      </c>
      <c r="J55" s="542">
        <f>IF(G55&gt;0,(I55-G55)/G55,(IF(I55=0,"N/A",100%)))</f>
        <v>7.6433121019108277E-2</v>
      </c>
      <c r="K55" s="541">
        <f>SUM(K52:K54)</f>
        <v>171</v>
      </c>
      <c r="L55" s="744">
        <f>IF(I55&gt;0,(K55-I55)/I55,(IF(K55=0,"N/A",100%)))</f>
        <v>1.1834319526627219E-2</v>
      </c>
    </row>
    <row r="56" spans="1:12" ht="17.25" customHeight="1" x14ac:dyDescent="0.3">
      <c r="A56" s="536" t="s">
        <v>413</v>
      </c>
      <c r="B56" s="537"/>
      <c r="C56" s="537"/>
      <c r="D56" s="733"/>
      <c r="E56" s="537"/>
      <c r="F56" s="733"/>
      <c r="G56" s="537"/>
      <c r="H56" s="538"/>
      <c r="I56" s="537"/>
      <c r="J56" s="538"/>
      <c r="K56" s="537"/>
      <c r="L56" s="743"/>
    </row>
    <row r="57" spans="1:12" ht="17.25" customHeight="1" x14ac:dyDescent="0.3">
      <c r="A57" s="540" t="s">
        <v>1072</v>
      </c>
      <c r="B57" s="541">
        <f>17+24</f>
        <v>41</v>
      </c>
      <c r="C57" s="541">
        <v>50</v>
      </c>
      <c r="D57" s="734">
        <f>IF(B57&gt;0,(C57-B57)/B57,(IF(C57=0,"N/A",100%)))</f>
        <v>0.21951219512195122</v>
      </c>
      <c r="E57" s="541">
        <v>39</v>
      </c>
      <c r="F57" s="734">
        <f t="shared" ref="F57:F66" si="15">IF(C57&gt;0,(E57-C57)/C57,(IF(E57=0,"N/A",100%)))</f>
        <v>-0.22</v>
      </c>
      <c r="G57" s="541">
        <f>19+21</f>
        <v>40</v>
      </c>
      <c r="H57" s="542">
        <f t="shared" ref="H57:H66" si="16">IF(E57&gt;0,(G57-E57)/E57,(IF(G57=0,"N/A",100%)))</f>
        <v>2.564102564102564E-2</v>
      </c>
      <c r="I57" s="541">
        <f>19+17</f>
        <v>36</v>
      </c>
      <c r="J57" s="542">
        <f t="shared" ref="J57:J66" si="17">IF(G57&gt;0,(I57-G57)/G57,(IF(I57=0,"N/A",100%)))</f>
        <v>-0.1</v>
      </c>
      <c r="K57" s="541">
        <v>0</v>
      </c>
      <c r="L57" s="744">
        <f t="shared" ref="L57:L66" si="18">IF(I57&gt;0,(K57-I57)/I57,(IF(K57=0,"N/A",100%)))</f>
        <v>-1</v>
      </c>
    </row>
    <row r="58" spans="1:12" ht="17.25" customHeight="1" x14ac:dyDescent="0.3">
      <c r="A58" s="540" t="s">
        <v>1534</v>
      </c>
      <c r="B58" s="541"/>
      <c r="C58" s="541">
        <v>0</v>
      </c>
      <c r="D58" s="734"/>
      <c r="E58" s="541">
        <v>0</v>
      </c>
      <c r="F58" s="734" t="str">
        <f t="shared" si="15"/>
        <v>N/A</v>
      </c>
      <c r="G58" s="541">
        <v>0</v>
      </c>
      <c r="H58" s="542" t="str">
        <f t="shared" si="16"/>
        <v>N/A</v>
      </c>
      <c r="I58" s="541">
        <v>0</v>
      </c>
      <c r="J58" s="542" t="str">
        <f t="shared" si="17"/>
        <v>N/A</v>
      </c>
      <c r="K58" s="541">
        <v>7</v>
      </c>
      <c r="L58" s="744">
        <f t="shared" si="18"/>
        <v>1</v>
      </c>
    </row>
    <row r="59" spans="1:12" ht="17.25" customHeight="1" x14ac:dyDescent="0.3">
      <c r="A59" s="540" t="s">
        <v>1544</v>
      </c>
      <c r="B59" s="541"/>
      <c r="C59" s="541">
        <v>0</v>
      </c>
      <c r="D59" s="734"/>
      <c r="E59" s="541">
        <v>0</v>
      </c>
      <c r="F59" s="734" t="str">
        <f t="shared" si="15"/>
        <v>N/A</v>
      </c>
      <c r="G59" s="541">
        <v>0</v>
      </c>
      <c r="H59" s="542" t="str">
        <f t="shared" si="16"/>
        <v>N/A</v>
      </c>
      <c r="I59" s="541">
        <v>0</v>
      </c>
      <c r="J59" s="542" t="str">
        <f t="shared" si="17"/>
        <v>N/A</v>
      </c>
      <c r="K59" s="541">
        <v>4</v>
      </c>
      <c r="L59" s="744">
        <f t="shared" si="18"/>
        <v>1</v>
      </c>
    </row>
    <row r="60" spans="1:12" ht="17.25" customHeight="1" x14ac:dyDescent="0.3">
      <c r="A60" s="540" t="s">
        <v>1545</v>
      </c>
      <c r="B60" s="541"/>
      <c r="C60" s="541">
        <v>0</v>
      </c>
      <c r="D60" s="734"/>
      <c r="E60" s="541">
        <v>0</v>
      </c>
      <c r="F60" s="734" t="str">
        <f t="shared" si="15"/>
        <v>N/A</v>
      </c>
      <c r="G60" s="541">
        <v>0</v>
      </c>
      <c r="H60" s="542" t="str">
        <f t="shared" si="16"/>
        <v>N/A</v>
      </c>
      <c r="I60" s="541">
        <v>0</v>
      </c>
      <c r="J60" s="542" t="str">
        <f t="shared" si="17"/>
        <v>N/A</v>
      </c>
      <c r="K60" s="541">
        <v>6</v>
      </c>
      <c r="L60" s="744">
        <f t="shared" si="18"/>
        <v>1</v>
      </c>
    </row>
    <row r="61" spans="1:12" ht="17.25" customHeight="1" x14ac:dyDescent="0.3">
      <c r="A61" s="540" t="s">
        <v>1546</v>
      </c>
      <c r="B61" s="541"/>
      <c r="C61" s="541">
        <v>0</v>
      </c>
      <c r="D61" s="734"/>
      <c r="E61" s="541">
        <v>0</v>
      </c>
      <c r="F61" s="734" t="str">
        <f t="shared" si="15"/>
        <v>N/A</v>
      </c>
      <c r="G61" s="541">
        <v>0</v>
      </c>
      <c r="H61" s="542" t="str">
        <f t="shared" si="16"/>
        <v>N/A</v>
      </c>
      <c r="I61" s="541">
        <v>0</v>
      </c>
      <c r="J61" s="542" t="str">
        <f t="shared" si="17"/>
        <v>N/A</v>
      </c>
      <c r="K61" s="541">
        <v>0</v>
      </c>
      <c r="L61" s="744" t="str">
        <f t="shared" si="18"/>
        <v>N/A</v>
      </c>
    </row>
    <row r="62" spans="1:12" ht="17.25" customHeight="1" x14ac:dyDescent="0.3">
      <c r="A62" s="540" t="s">
        <v>1531</v>
      </c>
      <c r="B62" s="541">
        <v>0</v>
      </c>
      <c r="C62" s="541">
        <v>0</v>
      </c>
      <c r="D62" s="734" t="str">
        <f>IF(B62&gt;0,(C62-B62)/B62,(IF(C62=0,"N/A",100%)))</f>
        <v>N/A</v>
      </c>
      <c r="E62" s="541">
        <v>0</v>
      </c>
      <c r="F62" s="734" t="str">
        <f t="shared" si="15"/>
        <v>N/A</v>
      </c>
      <c r="G62" s="541">
        <v>0</v>
      </c>
      <c r="H62" s="542" t="str">
        <f t="shared" si="16"/>
        <v>N/A</v>
      </c>
      <c r="I62" s="541">
        <v>0</v>
      </c>
      <c r="J62" s="542" t="str">
        <f t="shared" si="17"/>
        <v>N/A</v>
      </c>
      <c r="K62" s="541">
        <v>8</v>
      </c>
      <c r="L62" s="744">
        <f t="shared" si="18"/>
        <v>1</v>
      </c>
    </row>
    <row r="63" spans="1:12" ht="17.25" customHeight="1" x14ac:dyDescent="0.3">
      <c r="A63" s="540" t="s">
        <v>1532</v>
      </c>
      <c r="B63" s="541"/>
      <c r="C63" s="541">
        <v>0</v>
      </c>
      <c r="D63" s="734"/>
      <c r="E63" s="541">
        <v>0</v>
      </c>
      <c r="F63" s="734" t="str">
        <f t="shared" si="15"/>
        <v>N/A</v>
      </c>
      <c r="G63" s="541">
        <v>0</v>
      </c>
      <c r="H63" s="542" t="str">
        <f t="shared" si="16"/>
        <v>N/A</v>
      </c>
      <c r="I63" s="541">
        <v>0</v>
      </c>
      <c r="J63" s="542" t="str">
        <f t="shared" si="17"/>
        <v>N/A</v>
      </c>
      <c r="K63" s="541">
        <v>11</v>
      </c>
      <c r="L63" s="744">
        <f t="shared" si="18"/>
        <v>1</v>
      </c>
    </row>
    <row r="64" spans="1:12" ht="17.25" customHeight="1" x14ac:dyDescent="0.3">
      <c r="A64" s="540" t="s">
        <v>1533</v>
      </c>
      <c r="B64" s="541"/>
      <c r="C64" s="541">
        <v>0</v>
      </c>
      <c r="D64" s="734"/>
      <c r="E64" s="541">
        <v>0</v>
      </c>
      <c r="F64" s="734" t="str">
        <f t="shared" si="15"/>
        <v>N/A</v>
      </c>
      <c r="G64" s="541">
        <v>0</v>
      </c>
      <c r="H64" s="542" t="str">
        <f t="shared" si="16"/>
        <v>N/A</v>
      </c>
      <c r="I64" s="541">
        <v>0</v>
      </c>
      <c r="J64" s="542" t="str">
        <f t="shared" si="17"/>
        <v>N/A</v>
      </c>
      <c r="K64" s="541">
        <v>3</v>
      </c>
      <c r="L64" s="744">
        <f t="shared" si="18"/>
        <v>1</v>
      </c>
    </row>
    <row r="65" spans="1:12" ht="17.25" customHeight="1" x14ac:dyDescent="0.3">
      <c r="A65" s="546" t="s">
        <v>961</v>
      </c>
      <c r="B65" s="541">
        <f>+B62+B57</f>
        <v>41</v>
      </c>
      <c r="C65" s="541">
        <f>SUM(C57:C64)</f>
        <v>50</v>
      </c>
      <c r="D65" s="734">
        <f>IF(B65&gt;0,(C65-B65)/B65,(IF(C65=0,"N/A",100%)))</f>
        <v>0.21951219512195122</v>
      </c>
      <c r="E65" s="541">
        <f>SUM(E57:E64)</f>
        <v>39</v>
      </c>
      <c r="F65" s="734">
        <f t="shared" si="15"/>
        <v>-0.22</v>
      </c>
      <c r="G65" s="541">
        <f>SUM(G57:G64)</f>
        <v>40</v>
      </c>
      <c r="H65" s="542">
        <f t="shared" si="16"/>
        <v>2.564102564102564E-2</v>
      </c>
      <c r="I65" s="541">
        <f>SUM(I57:I64)</f>
        <v>36</v>
      </c>
      <c r="J65" s="542">
        <f t="shared" si="17"/>
        <v>-0.1</v>
      </c>
      <c r="K65" s="541">
        <f>SUM(K57:K64)</f>
        <v>39</v>
      </c>
      <c r="L65" s="744">
        <f t="shared" si="18"/>
        <v>8.3333333333333329E-2</v>
      </c>
    </row>
    <row r="66" spans="1:12" ht="17.25" customHeight="1" thickBot="1" x14ac:dyDescent="0.35">
      <c r="A66" s="1389" t="s">
        <v>414</v>
      </c>
      <c r="B66" s="972">
        <f>+B65+B55+B50+B46+B40</f>
        <v>330</v>
      </c>
      <c r="C66" s="895">
        <f>+C65+C55+C50+C46+C40</f>
        <v>383</v>
      </c>
      <c r="D66" s="1390">
        <f>IF(B66&gt;0,(C66-B66)/B66,(IF(C66=0,"N/A",100%)))</f>
        <v>0.16060606060606061</v>
      </c>
      <c r="E66" s="895">
        <f>+E65+E55+E50+E46+E40</f>
        <v>409</v>
      </c>
      <c r="F66" s="1359">
        <f t="shared" si="15"/>
        <v>6.7885117493472591E-2</v>
      </c>
      <c r="G66" s="972">
        <f>+G65+G55+G50+G46+G40</f>
        <v>431</v>
      </c>
      <c r="H66" s="1359">
        <f t="shared" si="16"/>
        <v>5.3789731051344741E-2</v>
      </c>
      <c r="I66" s="972">
        <f>+I65+I55+I50+I46+I40</f>
        <v>453</v>
      </c>
      <c r="J66" s="735">
        <f t="shared" si="17"/>
        <v>5.1044083526682132E-2</v>
      </c>
      <c r="K66" s="972">
        <f>+K65+K55+K50+K46+K40</f>
        <v>462</v>
      </c>
      <c r="L66" s="647">
        <f t="shared" si="18"/>
        <v>1.9867549668874173E-2</v>
      </c>
    </row>
    <row r="67" spans="1:12" ht="18.75" customHeight="1" thickTop="1" thickBot="1" x14ac:dyDescent="0.35">
      <c r="A67" s="1736" t="s">
        <v>415</v>
      </c>
      <c r="B67" s="1737"/>
      <c r="C67" s="1737"/>
      <c r="D67" s="1737"/>
      <c r="E67" s="1737"/>
      <c r="F67" s="1737"/>
      <c r="G67" s="1737"/>
      <c r="H67" s="1737"/>
      <c r="I67" s="1737"/>
      <c r="J67" s="1737"/>
      <c r="K67" s="1737"/>
      <c r="L67" s="1738"/>
    </row>
    <row r="68" spans="1:12" ht="20.25" customHeight="1" thickTop="1" x14ac:dyDescent="0.3">
      <c r="A68" s="800" t="s">
        <v>401</v>
      </c>
      <c r="B68" s="673">
        <v>2008</v>
      </c>
      <c r="C68" s="673">
        <f>B68+1</f>
        <v>2009</v>
      </c>
      <c r="D68" s="802" t="s">
        <v>1046</v>
      </c>
      <c r="E68" s="673">
        <f>C68+1</f>
        <v>2010</v>
      </c>
      <c r="F68" s="802" t="s">
        <v>1046</v>
      </c>
      <c r="G68" s="673">
        <f>E68+1</f>
        <v>2011</v>
      </c>
      <c r="H68" s="801" t="s">
        <v>1046</v>
      </c>
      <c r="I68" s="673">
        <f>G68+1</f>
        <v>2012</v>
      </c>
      <c r="J68" s="952" t="s">
        <v>1046</v>
      </c>
      <c r="K68" s="673">
        <v>2013</v>
      </c>
      <c r="L68" s="803" t="s">
        <v>1046</v>
      </c>
    </row>
    <row r="69" spans="1:12" ht="17.25" customHeight="1" x14ac:dyDescent="0.3">
      <c r="A69" s="536" t="s">
        <v>970</v>
      </c>
      <c r="B69" s="537"/>
      <c r="C69" s="537"/>
      <c r="D69" s="733"/>
      <c r="E69" s="537"/>
      <c r="F69" s="733"/>
      <c r="G69" s="537"/>
      <c r="H69" s="538"/>
      <c r="I69" s="537"/>
      <c r="J69" s="538"/>
      <c r="K69" s="537"/>
      <c r="L69" s="539"/>
    </row>
    <row r="70" spans="1:12" ht="17.25" customHeight="1" x14ac:dyDescent="0.3">
      <c r="A70" s="540" t="s">
        <v>1113</v>
      </c>
      <c r="B70" s="541">
        <v>6</v>
      </c>
      <c r="C70" s="541">
        <v>13</v>
      </c>
      <c r="D70" s="734">
        <f t="shared" ref="D70:D84" si="19">IF(B70&gt;0,(C70-B70)/B70,(IF(C70=0,"N/A",100%)))</f>
        <v>1.1666666666666667</v>
      </c>
      <c r="E70" s="541">
        <v>5</v>
      </c>
      <c r="F70" s="734">
        <f t="shared" ref="F70:F84" si="20">IF(C70&gt;0,(E70-C70)/C70,(IF(E70=0,"N/A",100%)))</f>
        <v>-0.61538461538461542</v>
      </c>
      <c r="G70" s="541">
        <v>12</v>
      </c>
      <c r="H70" s="542">
        <f t="shared" ref="H70:H84" si="21">IF(E70&gt;0,(G70-E70)/E70,(IF(G70=0,"N/A",100%)))</f>
        <v>1.4</v>
      </c>
      <c r="I70" s="541">
        <v>4</v>
      </c>
      <c r="J70" s="542">
        <f t="shared" ref="J70:J84" si="22">IF(G70&gt;0,(I70-G70)/G70,(IF(I70=0,"N/A",100%)))</f>
        <v>-0.66666666666666663</v>
      </c>
      <c r="K70" s="541">
        <v>7</v>
      </c>
      <c r="L70" s="1392">
        <f t="shared" ref="L70:L84" si="23">IF(I70&gt;0,(K70-I70)/I70,(IF(K70=0,"N/A",100%)))</f>
        <v>0.75</v>
      </c>
    </row>
    <row r="71" spans="1:12" ht="17.25" customHeight="1" x14ac:dyDescent="0.3">
      <c r="A71" s="540" t="s">
        <v>1114</v>
      </c>
      <c r="B71" s="541">
        <v>135</v>
      </c>
      <c r="C71" s="541">
        <v>133</v>
      </c>
      <c r="D71" s="734">
        <f t="shared" si="19"/>
        <v>-1.4814814814814815E-2</v>
      </c>
      <c r="E71" s="541">
        <v>143</v>
      </c>
      <c r="F71" s="734">
        <f t="shared" si="20"/>
        <v>7.5187969924812026E-2</v>
      </c>
      <c r="G71" s="541">
        <v>132</v>
      </c>
      <c r="H71" s="542">
        <f t="shared" si="21"/>
        <v>-7.6923076923076927E-2</v>
      </c>
      <c r="I71" s="541">
        <v>137</v>
      </c>
      <c r="J71" s="542">
        <f t="shared" si="22"/>
        <v>3.787878787878788E-2</v>
      </c>
      <c r="K71" s="541">
        <v>124</v>
      </c>
      <c r="L71" s="744">
        <f t="shared" si="23"/>
        <v>-9.4890510948905105E-2</v>
      </c>
    </row>
    <row r="72" spans="1:12" ht="17.25" customHeight="1" x14ac:dyDescent="0.3">
      <c r="A72" s="540" t="s">
        <v>818</v>
      </c>
      <c r="B72" s="541">
        <v>1</v>
      </c>
      <c r="C72" s="541">
        <v>13</v>
      </c>
      <c r="D72" s="734">
        <f t="shared" si="19"/>
        <v>12</v>
      </c>
      <c r="E72" s="541">
        <v>14</v>
      </c>
      <c r="F72" s="734">
        <f t="shared" si="20"/>
        <v>7.6923076923076927E-2</v>
      </c>
      <c r="G72" s="541">
        <v>11</v>
      </c>
      <c r="H72" s="542">
        <f t="shared" si="21"/>
        <v>-0.21428571428571427</v>
      </c>
      <c r="I72" s="541">
        <v>12</v>
      </c>
      <c r="J72" s="542">
        <f>IF(G72&gt;0,(I72-G72)/G72,(IF(I72=0,"N/A",100%)))</f>
        <v>9.0909090909090912E-2</v>
      </c>
      <c r="K72" s="541">
        <v>0</v>
      </c>
      <c r="L72" s="744">
        <f t="shared" si="23"/>
        <v>-1</v>
      </c>
    </row>
    <row r="73" spans="1:12" ht="17.25" customHeight="1" x14ac:dyDescent="0.3">
      <c r="A73" s="540" t="s">
        <v>1550</v>
      </c>
      <c r="B73" s="541"/>
      <c r="C73" s="541">
        <v>0</v>
      </c>
      <c r="D73" s="734"/>
      <c r="E73" s="541">
        <v>0</v>
      </c>
      <c r="F73" s="734" t="str">
        <f t="shared" si="20"/>
        <v>N/A</v>
      </c>
      <c r="G73" s="541">
        <v>0</v>
      </c>
      <c r="H73" s="542" t="str">
        <f t="shared" si="21"/>
        <v>N/A</v>
      </c>
      <c r="I73" s="541">
        <v>0</v>
      </c>
      <c r="J73" s="542" t="str">
        <f t="shared" ref="J73:J74" si="24">IF(G73&gt;0,(I73-G73)/G73,(IF(I73=0,"N/A",100%)))</f>
        <v>N/A</v>
      </c>
      <c r="K73" s="541">
        <v>7</v>
      </c>
      <c r="L73" s="744">
        <f t="shared" si="23"/>
        <v>1</v>
      </c>
    </row>
    <row r="74" spans="1:12" ht="17.25" customHeight="1" x14ac:dyDescent="0.3">
      <c r="A74" s="540" t="s">
        <v>1551</v>
      </c>
      <c r="B74" s="541"/>
      <c r="C74" s="541">
        <v>0</v>
      </c>
      <c r="D74" s="734"/>
      <c r="E74" s="541">
        <v>0</v>
      </c>
      <c r="F74" s="734" t="str">
        <f t="shared" si="20"/>
        <v>N/A</v>
      </c>
      <c r="G74" s="541">
        <v>0</v>
      </c>
      <c r="H74" s="542" t="str">
        <f t="shared" si="21"/>
        <v>N/A</v>
      </c>
      <c r="I74" s="541">
        <v>0</v>
      </c>
      <c r="J74" s="542" t="str">
        <f t="shared" si="24"/>
        <v>N/A</v>
      </c>
      <c r="K74" s="541">
        <v>16</v>
      </c>
      <c r="L74" s="744">
        <f t="shared" si="23"/>
        <v>1</v>
      </c>
    </row>
    <row r="75" spans="1:12" ht="17.25" customHeight="1" x14ac:dyDescent="0.3">
      <c r="A75" s="540" t="s">
        <v>512</v>
      </c>
      <c r="B75" s="541">
        <v>5</v>
      </c>
      <c r="C75" s="541">
        <v>6</v>
      </c>
      <c r="D75" s="734">
        <f t="shared" si="19"/>
        <v>0.2</v>
      </c>
      <c r="E75" s="541">
        <v>4</v>
      </c>
      <c r="F75" s="734">
        <f t="shared" si="20"/>
        <v>-0.33333333333333331</v>
      </c>
      <c r="G75" s="541">
        <v>3</v>
      </c>
      <c r="H75" s="542">
        <f t="shared" si="21"/>
        <v>-0.25</v>
      </c>
      <c r="I75" s="541">
        <v>6</v>
      </c>
      <c r="J75" s="542">
        <f t="shared" si="22"/>
        <v>1</v>
      </c>
      <c r="K75" s="541">
        <v>8</v>
      </c>
      <c r="L75" s="744">
        <f t="shared" si="23"/>
        <v>0.33333333333333331</v>
      </c>
    </row>
    <row r="76" spans="1:12" ht="17.25" customHeight="1" x14ac:dyDescent="0.3">
      <c r="A76" s="540" t="s">
        <v>1115</v>
      </c>
      <c r="B76" s="541">
        <v>132</v>
      </c>
      <c r="C76" s="541">
        <v>147</v>
      </c>
      <c r="D76" s="734">
        <f t="shared" si="19"/>
        <v>0.11363636363636363</v>
      </c>
      <c r="E76" s="541">
        <v>1</v>
      </c>
      <c r="F76" s="734">
        <f t="shared" si="20"/>
        <v>-0.99319727891156462</v>
      </c>
      <c r="G76" s="541">
        <v>122</v>
      </c>
      <c r="H76" s="542">
        <f t="shared" si="21"/>
        <v>121</v>
      </c>
      <c r="I76" s="541">
        <v>109</v>
      </c>
      <c r="J76" s="542">
        <f t="shared" si="22"/>
        <v>-0.10655737704918032</v>
      </c>
      <c r="K76" s="541">
        <v>97</v>
      </c>
      <c r="L76" s="744">
        <f t="shared" si="23"/>
        <v>-0.11009174311926606</v>
      </c>
    </row>
    <row r="77" spans="1:12" ht="17.25" customHeight="1" x14ac:dyDescent="0.3">
      <c r="A77" s="540" t="s">
        <v>1116</v>
      </c>
      <c r="B77" s="541">
        <v>19</v>
      </c>
      <c r="C77" s="541">
        <v>11</v>
      </c>
      <c r="D77" s="734">
        <f t="shared" si="19"/>
        <v>-0.42105263157894735</v>
      </c>
      <c r="E77" s="541">
        <v>153</v>
      </c>
      <c r="F77" s="734">
        <f t="shared" si="20"/>
        <v>12.909090909090908</v>
      </c>
      <c r="G77" s="541">
        <v>2</v>
      </c>
      <c r="H77" s="542">
        <f t="shared" si="21"/>
        <v>-0.98692810457516345</v>
      </c>
      <c r="I77" s="541">
        <v>4</v>
      </c>
      <c r="J77" s="542">
        <f t="shared" si="22"/>
        <v>1</v>
      </c>
      <c r="K77" s="541">
        <v>0</v>
      </c>
      <c r="L77" s="744">
        <f t="shared" si="23"/>
        <v>-1</v>
      </c>
    </row>
    <row r="78" spans="1:12" ht="17.25" customHeight="1" x14ac:dyDescent="0.3">
      <c r="A78" s="540" t="s">
        <v>1117</v>
      </c>
      <c r="B78" s="541">
        <v>45</v>
      </c>
      <c r="C78" s="541">
        <v>40</v>
      </c>
      <c r="D78" s="734">
        <f t="shared" si="19"/>
        <v>-0.1111111111111111</v>
      </c>
      <c r="E78" s="541">
        <v>50</v>
      </c>
      <c r="F78" s="734">
        <f t="shared" si="20"/>
        <v>0.25</v>
      </c>
      <c r="G78" s="541">
        <v>58</v>
      </c>
      <c r="H78" s="542">
        <f t="shared" si="21"/>
        <v>0.16</v>
      </c>
      <c r="I78" s="541">
        <v>63</v>
      </c>
      <c r="J78" s="542">
        <f t="shared" si="22"/>
        <v>8.6206896551724144E-2</v>
      </c>
      <c r="K78" s="541">
        <v>52</v>
      </c>
      <c r="L78" s="744">
        <f t="shared" si="23"/>
        <v>-0.17460317460317459</v>
      </c>
    </row>
    <row r="79" spans="1:12" ht="17.25" customHeight="1" x14ac:dyDescent="0.3">
      <c r="A79" s="540" t="s">
        <v>1547</v>
      </c>
      <c r="B79" s="541">
        <v>0</v>
      </c>
      <c r="C79" s="541">
        <v>0</v>
      </c>
      <c r="D79" s="734" t="str">
        <f t="shared" si="19"/>
        <v>N/A</v>
      </c>
      <c r="E79" s="541">
        <v>0</v>
      </c>
      <c r="F79" s="734" t="str">
        <f t="shared" si="20"/>
        <v>N/A</v>
      </c>
      <c r="G79" s="541">
        <v>0</v>
      </c>
      <c r="H79" s="542" t="str">
        <f t="shared" si="21"/>
        <v>N/A</v>
      </c>
      <c r="I79" s="541">
        <v>4</v>
      </c>
      <c r="J79" s="542">
        <f t="shared" si="22"/>
        <v>1</v>
      </c>
      <c r="K79" s="541">
        <v>0</v>
      </c>
      <c r="L79" s="744">
        <f t="shared" si="23"/>
        <v>-1</v>
      </c>
    </row>
    <row r="80" spans="1:12" ht="17.25" customHeight="1" x14ac:dyDescent="0.3">
      <c r="A80" s="540" t="s">
        <v>1548</v>
      </c>
      <c r="B80" s="541"/>
      <c r="C80" s="541">
        <v>0</v>
      </c>
      <c r="D80" s="734"/>
      <c r="E80" s="541">
        <v>0</v>
      </c>
      <c r="F80" s="734" t="str">
        <f t="shared" si="20"/>
        <v>N/A</v>
      </c>
      <c r="G80" s="541">
        <v>0</v>
      </c>
      <c r="H80" s="542" t="str">
        <f t="shared" si="21"/>
        <v>N/A</v>
      </c>
      <c r="I80" s="541">
        <v>0</v>
      </c>
      <c r="J80" s="542" t="str">
        <f t="shared" si="22"/>
        <v>N/A</v>
      </c>
      <c r="K80" s="541">
        <v>7</v>
      </c>
      <c r="L80" s="744">
        <f t="shared" si="23"/>
        <v>1</v>
      </c>
    </row>
    <row r="81" spans="1:12" ht="17.25" customHeight="1" x14ac:dyDescent="0.3">
      <c r="A81" s="540" t="s">
        <v>1573</v>
      </c>
      <c r="B81" s="541"/>
      <c r="C81" s="541">
        <v>0</v>
      </c>
      <c r="D81" s="734"/>
      <c r="E81" s="541">
        <v>0</v>
      </c>
      <c r="F81" s="734" t="str">
        <f t="shared" si="20"/>
        <v>N/A</v>
      </c>
      <c r="G81" s="541">
        <v>0</v>
      </c>
      <c r="H81" s="542" t="str">
        <f t="shared" si="21"/>
        <v>N/A</v>
      </c>
      <c r="I81" s="541">
        <v>0</v>
      </c>
      <c r="J81" s="542" t="str">
        <f t="shared" si="22"/>
        <v>N/A</v>
      </c>
      <c r="K81" s="541">
        <v>2</v>
      </c>
      <c r="L81" s="744">
        <f t="shared" si="23"/>
        <v>1</v>
      </c>
    </row>
    <row r="82" spans="1:12" ht="17.25" customHeight="1" x14ac:dyDescent="0.3">
      <c r="A82" s="540" t="s">
        <v>1549</v>
      </c>
      <c r="B82" s="541"/>
      <c r="C82" s="541">
        <v>0</v>
      </c>
      <c r="D82" s="734"/>
      <c r="E82" s="541">
        <v>0</v>
      </c>
      <c r="F82" s="734" t="str">
        <f t="shared" si="20"/>
        <v>N/A</v>
      </c>
      <c r="G82" s="541">
        <v>0</v>
      </c>
      <c r="H82" s="542" t="str">
        <f t="shared" si="21"/>
        <v>N/A</v>
      </c>
      <c r="I82" s="541">
        <v>0</v>
      </c>
      <c r="J82" s="542" t="str">
        <f t="shared" si="22"/>
        <v>N/A</v>
      </c>
      <c r="K82" s="541">
        <v>5</v>
      </c>
      <c r="L82" s="744">
        <f t="shared" si="23"/>
        <v>1</v>
      </c>
    </row>
    <row r="83" spans="1:12" ht="17.25" customHeight="1" x14ac:dyDescent="0.3">
      <c r="A83" s="540" t="s">
        <v>1118</v>
      </c>
      <c r="B83" s="541">
        <v>49</v>
      </c>
      <c r="C83" s="541">
        <v>57</v>
      </c>
      <c r="D83" s="734">
        <f t="shared" si="19"/>
        <v>0.16326530612244897</v>
      </c>
      <c r="E83" s="541">
        <v>50</v>
      </c>
      <c r="F83" s="734">
        <f t="shared" si="20"/>
        <v>-0.12280701754385964</v>
      </c>
      <c r="G83" s="541">
        <v>69</v>
      </c>
      <c r="H83" s="542">
        <f t="shared" si="21"/>
        <v>0.38</v>
      </c>
      <c r="I83" s="541">
        <v>61</v>
      </c>
      <c r="J83" s="542">
        <f t="shared" si="22"/>
        <v>-0.11594202898550725</v>
      </c>
      <c r="K83" s="541">
        <v>51</v>
      </c>
      <c r="L83" s="744">
        <f t="shared" si="23"/>
        <v>-0.16393442622950818</v>
      </c>
    </row>
    <row r="84" spans="1:12" ht="17.25" customHeight="1" x14ac:dyDescent="0.3">
      <c r="A84" s="546" t="s">
        <v>961</v>
      </c>
      <c r="B84" s="541">
        <f>SUM(B70:B83)</f>
        <v>392</v>
      </c>
      <c r="C84" s="541">
        <f>SUM(C70:C83)</f>
        <v>420</v>
      </c>
      <c r="D84" s="734">
        <f t="shared" si="19"/>
        <v>7.1428571428571425E-2</v>
      </c>
      <c r="E84" s="541">
        <f>SUM(E70:E83)</f>
        <v>420</v>
      </c>
      <c r="F84" s="734">
        <f t="shared" si="20"/>
        <v>0</v>
      </c>
      <c r="G84" s="541">
        <f>SUM(G70:G83)</f>
        <v>409</v>
      </c>
      <c r="H84" s="542">
        <f t="shared" si="21"/>
        <v>-2.6190476190476191E-2</v>
      </c>
      <c r="I84" s="541">
        <f>SUM(I70:I83)</f>
        <v>400</v>
      </c>
      <c r="J84" s="542">
        <f t="shared" si="22"/>
        <v>-2.2004889975550123E-2</v>
      </c>
      <c r="K84" s="541">
        <f>SUM(K70:K83)</f>
        <v>376</v>
      </c>
      <c r="L84" s="744">
        <f t="shared" si="23"/>
        <v>-0.06</v>
      </c>
    </row>
    <row r="85" spans="1:12" ht="17.25" customHeight="1" x14ac:dyDescent="0.3">
      <c r="A85" s="536" t="s">
        <v>416</v>
      </c>
      <c r="B85" s="537"/>
      <c r="C85" s="537"/>
      <c r="D85" s="733"/>
      <c r="E85" s="537"/>
      <c r="F85" s="733"/>
      <c r="G85" s="537"/>
      <c r="H85" s="538"/>
      <c r="I85" s="537"/>
      <c r="J85" s="538"/>
      <c r="K85" s="537"/>
      <c r="L85" s="743"/>
    </row>
    <row r="86" spans="1:12" ht="17.25" customHeight="1" x14ac:dyDescent="0.3">
      <c r="A86" s="540" t="s">
        <v>579</v>
      </c>
      <c r="B86" s="541">
        <v>24</v>
      </c>
      <c r="C86" s="541">
        <v>32</v>
      </c>
      <c r="D86" s="734">
        <f t="shared" ref="D86:D93" si="25">IF(B86&gt;0,(C86-B86)/B86,(IF(C86=0,"N/A",100%)))</f>
        <v>0.33333333333333331</v>
      </c>
      <c r="E86" s="541">
        <v>40</v>
      </c>
      <c r="F86" s="734">
        <f t="shared" ref="F86:F93" si="26">IF(C86&gt;0,(E86-C86)/C86,(IF(E86=0,"N/A",100%)))</f>
        <v>0.25</v>
      </c>
      <c r="G86" s="541">
        <v>36</v>
      </c>
      <c r="H86" s="542">
        <f t="shared" ref="H86:H93" si="27">IF(E86&gt;0,(G86-E86)/E86,(IF(G86=0,"N/A",100%)))</f>
        <v>-0.1</v>
      </c>
      <c r="I86" s="541">
        <v>36</v>
      </c>
      <c r="J86" s="542">
        <f t="shared" ref="J86:J93" si="28">IF(G86&gt;0,(I86-G86)/G86,(IF(I86=0,"N/A",100%)))</f>
        <v>0</v>
      </c>
      <c r="K86" s="541">
        <v>34</v>
      </c>
      <c r="L86" s="744">
        <f t="shared" ref="L86:L93" si="29">IF(I86&gt;0,(K86-I86)/I86,(IF(K86=0,"N/A",100%)))</f>
        <v>-5.5555555555555552E-2</v>
      </c>
    </row>
    <row r="87" spans="1:12" ht="17.25" customHeight="1" x14ac:dyDescent="0.3">
      <c r="A87" s="540" t="s">
        <v>1144</v>
      </c>
      <c r="B87" s="541">
        <v>121</v>
      </c>
      <c r="C87" s="541">
        <v>128</v>
      </c>
      <c r="D87" s="734">
        <f t="shared" si="25"/>
        <v>5.7851239669421489E-2</v>
      </c>
      <c r="E87" s="541">
        <v>149</v>
      </c>
      <c r="F87" s="734">
        <f t="shared" si="26"/>
        <v>0.1640625</v>
      </c>
      <c r="G87" s="541">
        <v>195</v>
      </c>
      <c r="H87" s="542">
        <f t="shared" si="27"/>
        <v>0.3087248322147651</v>
      </c>
      <c r="I87" s="541">
        <v>191</v>
      </c>
      <c r="J87" s="542">
        <f t="shared" si="28"/>
        <v>-2.0512820512820513E-2</v>
      </c>
      <c r="K87" s="541">
        <v>196</v>
      </c>
      <c r="L87" s="744">
        <f t="shared" si="29"/>
        <v>2.6178010471204188E-2</v>
      </c>
    </row>
    <row r="88" spans="1:12" ht="17.25" customHeight="1" x14ac:dyDescent="0.3">
      <c r="A88" s="540" t="s">
        <v>1145</v>
      </c>
      <c r="B88" s="541">
        <v>0</v>
      </c>
      <c r="C88" s="541">
        <v>0</v>
      </c>
      <c r="D88" s="734" t="str">
        <f t="shared" si="25"/>
        <v>N/A</v>
      </c>
      <c r="E88" s="541">
        <v>0</v>
      </c>
      <c r="F88" s="734" t="str">
        <f t="shared" si="26"/>
        <v>N/A</v>
      </c>
      <c r="G88" s="541">
        <v>0</v>
      </c>
      <c r="H88" s="542" t="str">
        <f t="shared" si="27"/>
        <v>N/A</v>
      </c>
      <c r="I88" s="541">
        <v>0</v>
      </c>
      <c r="J88" s="542" t="str">
        <f t="shared" si="28"/>
        <v>N/A</v>
      </c>
      <c r="K88" s="541">
        <v>0</v>
      </c>
      <c r="L88" s="744" t="str">
        <f t="shared" si="29"/>
        <v>N/A</v>
      </c>
    </row>
    <row r="89" spans="1:12" ht="17.25" customHeight="1" x14ac:dyDescent="0.3">
      <c r="A89" s="540" t="s">
        <v>1095</v>
      </c>
      <c r="B89" s="541">
        <v>0</v>
      </c>
      <c r="C89" s="541">
        <v>0</v>
      </c>
      <c r="D89" s="734" t="str">
        <f t="shared" si="25"/>
        <v>N/A</v>
      </c>
      <c r="E89" s="541">
        <v>0</v>
      </c>
      <c r="F89" s="734" t="str">
        <f t="shared" si="26"/>
        <v>N/A</v>
      </c>
      <c r="G89" s="541">
        <v>0</v>
      </c>
      <c r="H89" s="542" t="str">
        <f t="shared" si="27"/>
        <v>N/A</v>
      </c>
      <c r="I89" s="541">
        <v>0</v>
      </c>
      <c r="J89" s="542" t="str">
        <f t="shared" si="28"/>
        <v>N/A</v>
      </c>
      <c r="K89" s="541">
        <v>0</v>
      </c>
      <c r="L89" s="744" t="str">
        <f t="shared" si="29"/>
        <v>N/A</v>
      </c>
    </row>
    <row r="90" spans="1:12" ht="17.25" customHeight="1" x14ac:dyDescent="0.3">
      <c r="A90" s="540" t="s">
        <v>1096</v>
      </c>
      <c r="B90" s="541">
        <v>0</v>
      </c>
      <c r="C90" s="541">
        <v>0</v>
      </c>
      <c r="D90" s="734" t="str">
        <f t="shared" si="25"/>
        <v>N/A</v>
      </c>
      <c r="E90" s="541">
        <v>0</v>
      </c>
      <c r="F90" s="734" t="str">
        <f t="shared" si="26"/>
        <v>N/A</v>
      </c>
      <c r="G90" s="541">
        <v>0</v>
      </c>
      <c r="H90" s="542" t="str">
        <f t="shared" si="27"/>
        <v>N/A</v>
      </c>
      <c r="I90" s="541">
        <v>0</v>
      </c>
      <c r="J90" s="542" t="str">
        <f t="shared" si="28"/>
        <v>N/A</v>
      </c>
      <c r="K90" s="541">
        <v>0</v>
      </c>
      <c r="L90" s="744" t="str">
        <f t="shared" si="29"/>
        <v>N/A</v>
      </c>
    </row>
    <row r="91" spans="1:12" ht="17.25" customHeight="1" x14ac:dyDescent="0.3">
      <c r="A91" s="540" t="s">
        <v>1098</v>
      </c>
      <c r="B91" s="541">
        <v>50</v>
      </c>
      <c r="C91" s="541">
        <v>50</v>
      </c>
      <c r="D91" s="734">
        <f t="shared" si="25"/>
        <v>0</v>
      </c>
      <c r="E91" s="541">
        <v>59</v>
      </c>
      <c r="F91" s="734">
        <f t="shared" si="26"/>
        <v>0.18</v>
      </c>
      <c r="G91" s="541">
        <v>52</v>
      </c>
      <c r="H91" s="542">
        <f t="shared" si="27"/>
        <v>-0.11864406779661017</v>
      </c>
      <c r="I91" s="541">
        <v>44</v>
      </c>
      <c r="J91" s="542">
        <f t="shared" si="28"/>
        <v>-0.15384615384615385</v>
      </c>
      <c r="K91" s="541">
        <v>37</v>
      </c>
      <c r="L91" s="744">
        <f t="shared" si="29"/>
        <v>-0.15909090909090909</v>
      </c>
    </row>
    <row r="92" spans="1:12" ht="17.25" customHeight="1" x14ac:dyDescent="0.3">
      <c r="A92" s="540" t="s">
        <v>23</v>
      </c>
      <c r="B92" s="541">
        <v>0</v>
      </c>
      <c r="C92" s="541">
        <v>0</v>
      </c>
      <c r="D92" s="734" t="str">
        <f t="shared" si="25"/>
        <v>N/A</v>
      </c>
      <c r="E92" s="541">
        <v>0</v>
      </c>
      <c r="F92" s="734" t="str">
        <f t="shared" si="26"/>
        <v>N/A</v>
      </c>
      <c r="G92" s="541">
        <v>0</v>
      </c>
      <c r="H92" s="542" t="str">
        <f t="shared" si="27"/>
        <v>N/A</v>
      </c>
      <c r="I92" s="541">
        <v>0</v>
      </c>
      <c r="J92" s="542" t="str">
        <f t="shared" si="28"/>
        <v>N/A</v>
      </c>
      <c r="K92" s="541">
        <v>0</v>
      </c>
      <c r="L92" s="744" t="str">
        <f t="shared" si="29"/>
        <v>N/A</v>
      </c>
    </row>
    <row r="93" spans="1:12" ht="17.25" customHeight="1" x14ac:dyDescent="0.3">
      <c r="A93" s="546" t="s">
        <v>961</v>
      </c>
      <c r="B93" s="541">
        <f>SUM(B86:B92)</f>
        <v>195</v>
      </c>
      <c r="C93" s="541">
        <f>SUM(C86:C92)</f>
        <v>210</v>
      </c>
      <c r="D93" s="734">
        <f t="shared" si="25"/>
        <v>7.6923076923076927E-2</v>
      </c>
      <c r="E93" s="541">
        <f>SUM(E86:E92)</f>
        <v>248</v>
      </c>
      <c r="F93" s="734">
        <f t="shared" si="26"/>
        <v>0.18095238095238095</v>
      </c>
      <c r="G93" s="541">
        <f>SUM(G86:G92)</f>
        <v>283</v>
      </c>
      <c r="H93" s="542">
        <f t="shared" si="27"/>
        <v>0.14112903225806453</v>
      </c>
      <c r="I93" s="541">
        <f>SUM(I86:I92)</f>
        <v>271</v>
      </c>
      <c r="J93" s="542">
        <f t="shared" si="28"/>
        <v>-4.2402826855123678E-2</v>
      </c>
      <c r="K93" s="541">
        <f>SUM(K86:K92)</f>
        <v>267</v>
      </c>
      <c r="L93" s="744">
        <f t="shared" si="29"/>
        <v>-1.4760147601476014E-2</v>
      </c>
    </row>
    <row r="94" spans="1:12" ht="17.25" customHeight="1" x14ac:dyDescent="0.3">
      <c r="A94" s="536" t="s">
        <v>417</v>
      </c>
      <c r="B94" s="537"/>
      <c r="C94" s="537"/>
      <c r="D94" s="733"/>
      <c r="E94" s="537"/>
      <c r="F94" s="733"/>
      <c r="G94" s="537"/>
      <c r="H94" s="538"/>
      <c r="I94" s="537"/>
      <c r="J94" s="538"/>
      <c r="K94" s="537"/>
      <c r="L94" s="743"/>
    </row>
    <row r="95" spans="1:12" ht="17.25" customHeight="1" x14ac:dyDescent="0.3">
      <c r="A95" s="540" t="s">
        <v>1047</v>
      </c>
      <c r="B95" s="541">
        <v>61</v>
      </c>
      <c r="C95" s="541">
        <v>51</v>
      </c>
      <c r="D95" s="734">
        <f t="shared" ref="D95:D102" si="30">IF(B95&gt;0,(C95-B95)/B95,(IF(C95=0,"N/A",100%)))</f>
        <v>-0.16393442622950818</v>
      </c>
      <c r="E95" s="541">
        <v>72</v>
      </c>
      <c r="F95" s="734">
        <f t="shared" ref="F95:F102" si="31">IF(C95&gt;0,(E95-C95)/C95,(IF(E95=0,"N/A",100%)))</f>
        <v>0.41176470588235292</v>
      </c>
      <c r="G95" s="541">
        <v>74</v>
      </c>
      <c r="H95" s="542">
        <f t="shared" ref="H95:H102" si="32">IF(E95&gt;0,(G95-E95)/E95,(IF(G95=0,"N/A",100%)))</f>
        <v>2.7777777777777776E-2</v>
      </c>
      <c r="I95" s="541">
        <v>133</v>
      </c>
      <c r="J95" s="542">
        <f t="shared" ref="J95:J102" si="33">IF(G95&gt;0,(I95-G95)/G95,(IF(I95=0,"N/A",100%)))</f>
        <v>0.79729729729729726</v>
      </c>
      <c r="K95" s="541">
        <v>133</v>
      </c>
      <c r="L95" s="744">
        <f t="shared" ref="L95:L102" si="34">IF(I95&gt;0,(K95-I95)/I95,(IF(K95=0,"N/A",100%)))</f>
        <v>0</v>
      </c>
    </row>
    <row r="96" spans="1:12" ht="17.25" customHeight="1" x14ac:dyDescent="0.3">
      <c r="A96" s="540" t="s">
        <v>1081</v>
      </c>
      <c r="B96" s="541">
        <v>5</v>
      </c>
      <c r="C96" s="541">
        <v>12</v>
      </c>
      <c r="D96" s="734">
        <f t="shared" si="30"/>
        <v>1.4</v>
      </c>
      <c r="E96" s="541">
        <v>7</v>
      </c>
      <c r="F96" s="734">
        <f t="shared" si="31"/>
        <v>-0.41666666666666669</v>
      </c>
      <c r="G96" s="541">
        <v>14</v>
      </c>
      <c r="H96" s="542">
        <f t="shared" si="32"/>
        <v>1</v>
      </c>
      <c r="I96" s="541">
        <v>4</v>
      </c>
      <c r="J96" s="542">
        <f t="shared" si="33"/>
        <v>-0.7142857142857143</v>
      </c>
      <c r="K96" s="541">
        <v>1</v>
      </c>
      <c r="L96" s="744">
        <f t="shared" si="34"/>
        <v>-0.75</v>
      </c>
    </row>
    <row r="97" spans="1:12" ht="17.25" customHeight="1" x14ac:dyDescent="0.3">
      <c r="A97" s="540" t="s">
        <v>1048</v>
      </c>
      <c r="B97" s="541">
        <v>1</v>
      </c>
      <c r="C97" s="541">
        <v>4</v>
      </c>
      <c r="D97" s="734">
        <f t="shared" si="30"/>
        <v>3</v>
      </c>
      <c r="E97" s="541">
        <v>0</v>
      </c>
      <c r="F97" s="734">
        <f t="shared" si="31"/>
        <v>-1</v>
      </c>
      <c r="G97" s="541">
        <v>0</v>
      </c>
      <c r="H97" s="542" t="str">
        <f t="shared" si="32"/>
        <v>N/A</v>
      </c>
      <c r="I97" s="541">
        <v>0</v>
      </c>
      <c r="J97" s="542" t="str">
        <f t="shared" si="33"/>
        <v>N/A</v>
      </c>
      <c r="K97" s="541">
        <v>0</v>
      </c>
      <c r="L97" s="744" t="str">
        <f t="shared" si="34"/>
        <v>N/A</v>
      </c>
    </row>
    <row r="98" spans="1:12" ht="17.25" customHeight="1" x14ac:dyDescent="0.3">
      <c r="A98" s="540" t="s">
        <v>1049</v>
      </c>
      <c r="B98" s="541">
        <v>51</v>
      </c>
      <c r="C98" s="541">
        <v>51</v>
      </c>
      <c r="D98" s="734">
        <f t="shared" si="30"/>
        <v>0</v>
      </c>
      <c r="E98" s="541">
        <v>71</v>
      </c>
      <c r="F98" s="734">
        <f t="shared" si="31"/>
        <v>0.39215686274509803</v>
      </c>
      <c r="G98" s="541">
        <v>74</v>
      </c>
      <c r="H98" s="542">
        <f t="shared" si="32"/>
        <v>4.2253521126760563E-2</v>
      </c>
      <c r="I98" s="541">
        <v>30</v>
      </c>
      <c r="J98" s="542">
        <f t="shared" si="33"/>
        <v>-0.59459459459459463</v>
      </c>
      <c r="K98" s="541">
        <v>13</v>
      </c>
      <c r="L98" s="744">
        <f t="shared" si="34"/>
        <v>-0.56666666666666665</v>
      </c>
    </row>
    <row r="99" spans="1:12" ht="17.25" customHeight="1" x14ac:dyDescent="0.3">
      <c r="A99" s="540" t="s">
        <v>1051</v>
      </c>
      <c r="B99" s="541">
        <v>7</v>
      </c>
      <c r="C99" s="541">
        <v>9</v>
      </c>
      <c r="D99" s="734">
        <f t="shared" si="30"/>
        <v>0.2857142857142857</v>
      </c>
      <c r="E99" s="541">
        <v>2</v>
      </c>
      <c r="F99" s="734">
        <f t="shared" si="31"/>
        <v>-0.77777777777777779</v>
      </c>
      <c r="G99" s="541">
        <v>0</v>
      </c>
      <c r="H99" s="542">
        <f t="shared" si="32"/>
        <v>-1</v>
      </c>
      <c r="I99" s="541">
        <v>0</v>
      </c>
      <c r="J99" s="542" t="str">
        <f t="shared" si="33"/>
        <v>N/A</v>
      </c>
      <c r="K99" s="541">
        <v>0</v>
      </c>
      <c r="L99" s="744" t="str">
        <f t="shared" si="34"/>
        <v>N/A</v>
      </c>
    </row>
    <row r="100" spans="1:12" ht="17.25" hidden="1" customHeight="1" x14ac:dyDescent="0.3">
      <c r="A100" s="540" t="s">
        <v>697</v>
      </c>
      <c r="B100" s="541">
        <v>0</v>
      </c>
      <c r="C100" s="541">
        <v>0</v>
      </c>
      <c r="D100" s="734" t="str">
        <f t="shared" si="30"/>
        <v>N/A</v>
      </c>
      <c r="E100" s="541">
        <v>0</v>
      </c>
      <c r="F100" s="734" t="str">
        <f t="shared" si="31"/>
        <v>N/A</v>
      </c>
      <c r="G100" s="541">
        <v>0</v>
      </c>
      <c r="H100" s="542" t="str">
        <f t="shared" si="32"/>
        <v>N/A</v>
      </c>
      <c r="I100" s="541">
        <v>0</v>
      </c>
      <c r="J100" s="542" t="str">
        <f t="shared" si="33"/>
        <v>N/A</v>
      </c>
      <c r="K100" s="541">
        <v>0</v>
      </c>
      <c r="L100" s="744" t="str">
        <f t="shared" si="34"/>
        <v>N/A</v>
      </c>
    </row>
    <row r="101" spans="1:12" ht="17.25" customHeight="1" x14ac:dyDescent="0.3">
      <c r="A101" s="546" t="s">
        <v>961</v>
      </c>
      <c r="B101" s="541">
        <f>SUM(B95:B100)</f>
        <v>125</v>
      </c>
      <c r="C101" s="541">
        <f>SUM(C95:C100)</f>
        <v>127</v>
      </c>
      <c r="D101" s="734">
        <f t="shared" si="30"/>
        <v>1.6E-2</v>
      </c>
      <c r="E101" s="541">
        <f>SUM(E95:E100)</f>
        <v>152</v>
      </c>
      <c r="F101" s="734">
        <f t="shared" si="31"/>
        <v>0.19685039370078741</v>
      </c>
      <c r="G101" s="541">
        <f>SUM(G95:G100)</f>
        <v>162</v>
      </c>
      <c r="H101" s="542">
        <f t="shared" si="32"/>
        <v>6.5789473684210523E-2</v>
      </c>
      <c r="I101" s="541">
        <f>SUM(I95:I100)</f>
        <v>167</v>
      </c>
      <c r="J101" s="542">
        <f t="shared" si="33"/>
        <v>3.0864197530864196E-2</v>
      </c>
      <c r="K101" s="541">
        <f>SUM(K95:K100)</f>
        <v>147</v>
      </c>
      <c r="L101" s="744">
        <f t="shared" si="34"/>
        <v>-0.11976047904191617</v>
      </c>
    </row>
    <row r="102" spans="1:12" ht="17.25" customHeight="1" thickBot="1" x14ac:dyDescent="0.35">
      <c r="A102" s="857" t="s">
        <v>418</v>
      </c>
      <c r="B102" s="670">
        <f>+B101+B93+B84</f>
        <v>712</v>
      </c>
      <c r="C102" s="670">
        <f>+C101+C93+C84</f>
        <v>757</v>
      </c>
      <c r="D102" s="858">
        <f t="shared" si="30"/>
        <v>6.3202247191011238E-2</v>
      </c>
      <c r="E102" s="670">
        <f>+E101+E93+E84</f>
        <v>820</v>
      </c>
      <c r="F102" s="858">
        <f t="shared" si="31"/>
        <v>8.3223249669749005E-2</v>
      </c>
      <c r="G102" s="670">
        <f>+G101+G93+G84</f>
        <v>854</v>
      </c>
      <c r="H102" s="1358">
        <f t="shared" si="32"/>
        <v>4.1463414634146344E-2</v>
      </c>
      <c r="I102" s="670">
        <f>+I101+I93+I84</f>
        <v>838</v>
      </c>
      <c r="J102" s="556">
        <f t="shared" si="33"/>
        <v>-1.873536299765808E-2</v>
      </c>
      <c r="K102" s="670">
        <f>+K101+K93+K84</f>
        <v>790</v>
      </c>
      <c r="L102" s="1391">
        <f t="shared" si="34"/>
        <v>-5.7279236276849645E-2</v>
      </c>
    </row>
    <row r="103" spans="1:12" ht="18.75" customHeight="1" thickTop="1" thickBot="1" x14ac:dyDescent="0.35">
      <c r="A103" s="1736" t="s">
        <v>419</v>
      </c>
      <c r="B103" s="1737"/>
      <c r="C103" s="1737"/>
      <c r="D103" s="1737"/>
      <c r="E103" s="1737"/>
      <c r="F103" s="1737"/>
      <c r="G103" s="1737"/>
      <c r="H103" s="1737"/>
      <c r="I103" s="1737"/>
      <c r="J103" s="1737"/>
      <c r="K103" s="1737"/>
      <c r="L103" s="1738"/>
    </row>
    <row r="104" spans="1:12" ht="20.25" customHeight="1" thickTop="1" x14ac:dyDescent="0.3">
      <c r="A104" s="800" t="s">
        <v>401</v>
      </c>
      <c r="B104" s="673">
        <v>2008</v>
      </c>
      <c r="C104" s="673">
        <f>B104+1</f>
        <v>2009</v>
      </c>
      <c r="D104" s="802" t="s">
        <v>1046</v>
      </c>
      <c r="E104" s="673">
        <f>C104+1</f>
        <v>2010</v>
      </c>
      <c r="F104" s="802" t="s">
        <v>1046</v>
      </c>
      <c r="G104" s="673">
        <f>E104+1</f>
        <v>2011</v>
      </c>
      <c r="H104" s="801" t="s">
        <v>1046</v>
      </c>
      <c r="I104" s="673">
        <f>G104+1</f>
        <v>2012</v>
      </c>
      <c r="J104" s="952" t="s">
        <v>1046</v>
      </c>
      <c r="K104" s="673">
        <v>2013</v>
      </c>
      <c r="L104" s="803" t="s">
        <v>1046</v>
      </c>
    </row>
    <row r="105" spans="1:12" ht="17.25" customHeight="1" x14ac:dyDescent="0.3">
      <c r="A105" s="551" t="s">
        <v>420</v>
      </c>
      <c r="B105" s="554"/>
      <c r="C105" s="554"/>
      <c r="D105" s="553"/>
      <c r="E105" s="554"/>
      <c r="F105" s="553"/>
      <c r="G105" s="554"/>
      <c r="H105" s="553"/>
      <c r="I105" s="554"/>
      <c r="J105" s="553"/>
      <c r="K105" s="554"/>
      <c r="L105" s="555"/>
    </row>
    <row r="106" spans="1:12" ht="17.25" customHeight="1" x14ac:dyDescent="0.3">
      <c r="A106" s="540" t="s">
        <v>1099</v>
      </c>
      <c r="B106" s="541">
        <v>66</v>
      </c>
      <c r="C106" s="541">
        <v>95</v>
      </c>
      <c r="D106" s="734">
        <f t="shared" ref="D106:D112" si="35">IF(B106&gt;0,(C106-B106)/B106,(IF(C106=0,"N/A",100%)))</f>
        <v>0.43939393939393939</v>
      </c>
      <c r="E106" s="541">
        <v>95</v>
      </c>
      <c r="F106" s="734">
        <f t="shared" ref="F106:F112" si="36">IF(C106&gt;0,(E106-C106)/C106,(IF(E106=0,"N/A",100%)))</f>
        <v>0</v>
      </c>
      <c r="G106" s="541">
        <v>83</v>
      </c>
      <c r="H106" s="542">
        <f t="shared" ref="H106:H112" si="37">IF(E106&gt;0,(G106-E106)/E106,(IF(G106=0,"N/A",100%)))</f>
        <v>-0.12631578947368421</v>
      </c>
      <c r="I106" s="541">
        <v>83</v>
      </c>
      <c r="J106" s="542">
        <f t="shared" ref="J106:J112" si="38">IF(G106&gt;0,(I106-G106)/G106,(IF(I106=0,"N/A",100%)))</f>
        <v>0</v>
      </c>
      <c r="K106" s="541">
        <v>98</v>
      </c>
      <c r="L106" s="1392">
        <f t="shared" ref="L106:L112" si="39">IF(I106&gt;0,(K106-I106)/I106,(IF(K106=0,"N/A",100%)))</f>
        <v>0.18072289156626506</v>
      </c>
    </row>
    <row r="107" spans="1:12" ht="17.25" customHeight="1" x14ac:dyDescent="0.3">
      <c r="A107" s="540" t="s">
        <v>1104</v>
      </c>
      <c r="B107" s="541">
        <v>34</v>
      </c>
      <c r="C107" s="541">
        <v>33</v>
      </c>
      <c r="D107" s="734">
        <f t="shared" si="35"/>
        <v>-2.9411764705882353E-2</v>
      </c>
      <c r="E107" s="541">
        <v>36</v>
      </c>
      <c r="F107" s="734">
        <f t="shared" si="36"/>
        <v>9.0909090909090912E-2</v>
      </c>
      <c r="G107" s="541">
        <v>34</v>
      </c>
      <c r="H107" s="542">
        <f t="shared" si="37"/>
        <v>-5.5555555555555552E-2</v>
      </c>
      <c r="I107" s="541">
        <v>35</v>
      </c>
      <c r="J107" s="542">
        <f t="shared" si="38"/>
        <v>2.9411764705882353E-2</v>
      </c>
      <c r="K107" s="541">
        <v>33</v>
      </c>
      <c r="L107" s="744">
        <f t="shared" si="39"/>
        <v>-5.7142857142857141E-2</v>
      </c>
    </row>
    <row r="108" spans="1:12" ht="17.25" customHeight="1" x14ac:dyDescent="0.3">
      <c r="A108" s="540" t="s">
        <v>1105</v>
      </c>
      <c r="B108" s="541">
        <v>21</v>
      </c>
      <c r="C108" s="541">
        <v>0</v>
      </c>
      <c r="D108" s="734">
        <f t="shared" si="35"/>
        <v>-1</v>
      </c>
      <c r="E108" s="541">
        <v>1</v>
      </c>
      <c r="F108" s="734">
        <f t="shared" si="36"/>
        <v>1</v>
      </c>
      <c r="G108" s="541">
        <v>0</v>
      </c>
      <c r="H108" s="542">
        <f t="shared" si="37"/>
        <v>-1</v>
      </c>
      <c r="I108" s="541">
        <v>0</v>
      </c>
      <c r="J108" s="542" t="str">
        <f t="shared" si="38"/>
        <v>N/A</v>
      </c>
      <c r="K108" s="541">
        <v>0</v>
      </c>
      <c r="L108" s="744" t="str">
        <f t="shared" si="39"/>
        <v>N/A</v>
      </c>
    </row>
    <row r="109" spans="1:12" ht="17.25" customHeight="1" x14ac:dyDescent="0.3">
      <c r="A109" s="540" t="s">
        <v>1106</v>
      </c>
      <c r="B109" s="541">
        <v>87</v>
      </c>
      <c r="C109" s="541">
        <v>99</v>
      </c>
      <c r="D109" s="734">
        <f t="shared" si="35"/>
        <v>0.13793103448275862</v>
      </c>
      <c r="E109" s="541">
        <v>116</v>
      </c>
      <c r="F109" s="734">
        <f t="shared" si="36"/>
        <v>0.17171717171717171</v>
      </c>
      <c r="G109" s="541">
        <v>133</v>
      </c>
      <c r="H109" s="542">
        <f t="shared" si="37"/>
        <v>0.14655172413793102</v>
      </c>
      <c r="I109" s="541">
        <v>138</v>
      </c>
      <c r="J109" s="542">
        <f t="shared" si="38"/>
        <v>3.7593984962406013E-2</v>
      </c>
      <c r="K109" s="541">
        <v>124</v>
      </c>
      <c r="L109" s="744">
        <f t="shared" si="39"/>
        <v>-0.10144927536231885</v>
      </c>
    </row>
    <row r="110" spans="1:12" ht="17.25" customHeight="1" x14ac:dyDescent="0.3">
      <c r="A110" s="540" t="s">
        <v>1107</v>
      </c>
      <c r="B110" s="541">
        <v>189</v>
      </c>
      <c r="C110" s="541">
        <v>219</v>
      </c>
      <c r="D110" s="734">
        <f t="shared" si="35"/>
        <v>0.15873015873015872</v>
      </c>
      <c r="E110" s="541">
        <v>235</v>
      </c>
      <c r="F110" s="734">
        <f t="shared" si="36"/>
        <v>7.3059360730593603E-2</v>
      </c>
      <c r="G110" s="541">
        <v>219</v>
      </c>
      <c r="H110" s="542">
        <f t="shared" si="37"/>
        <v>-6.8085106382978725E-2</v>
      </c>
      <c r="I110" s="541">
        <v>176</v>
      </c>
      <c r="J110" s="542">
        <f t="shared" si="38"/>
        <v>-0.19634703196347031</v>
      </c>
      <c r="K110" s="541">
        <v>159</v>
      </c>
      <c r="L110" s="744">
        <f t="shared" si="39"/>
        <v>-9.6590909090909088E-2</v>
      </c>
    </row>
    <row r="111" spans="1:12" ht="17.25" customHeight="1" x14ac:dyDescent="0.3">
      <c r="A111" s="540" t="s">
        <v>1086</v>
      </c>
      <c r="B111" s="541">
        <v>1</v>
      </c>
      <c r="C111" s="541">
        <v>3</v>
      </c>
      <c r="D111" s="734">
        <f t="shared" si="35"/>
        <v>2</v>
      </c>
      <c r="E111" s="541">
        <v>1</v>
      </c>
      <c r="F111" s="734">
        <f t="shared" si="36"/>
        <v>-0.66666666666666663</v>
      </c>
      <c r="G111" s="541">
        <v>0</v>
      </c>
      <c r="H111" s="542">
        <f t="shared" si="37"/>
        <v>-1</v>
      </c>
      <c r="I111" s="541">
        <v>0</v>
      </c>
      <c r="J111" s="542" t="str">
        <f t="shared" si="38"/>
        <v>N/A</v>
      </c>
      <c r="K111" s="541">
        <v>1</v>
      </c>
      <c r="L111" s="744">
        <f t="shared" si="39"/>
        <v>1</v>
      </c>
    </row>
    <row r="112" spans="1:12" ht="17.25" customHeight="1" x14ac:dyDescent="0.3">
      <c r="A112" s="546" t="s">
        <v>961</v>
      </c>
      <c r="B112" s="541">
        <f>SUM(B106:B111)</f>
        <v>398</v>
      </c>
      <c r="C112" s="541">
        <f>SUM(C106:C111)</f>
        <v>449</v>
      </c>
      <c r="D112" s="734">
        <f t="shared" si="35"/>
        <v>0.12814070351758794</v>
      </c>
      <c r="E112" s="541">
        <f>SUM(E106:E111)</f>
        <v>484</v>
      </c>
      <c r="F112" s="734">
        <f t="shared" si="36"/>
        <v>7.7951002227171495E-2</v>
      </c>
      <c r="G112" s="541">
        <f>SUM(G106:G111)</f>
        <v>469</v>
      </c>
      <c r="H112" s="542">
        <f t="shared" si="37"/>
        <v>-3.0991735537190084E-2</v>
      </c>
      <c r="I112" s="541">
        <f>SUM(I106:I111)</f>
        <v>432</v>
      </c>
      <c r="J112" s="542">
        <f t="shared" si="38"/>
        <v>-7.8891257995735611E-2</v>
      </c>
      <c r="K112" s="541">
        <f>SUM(K106:K111)</f>
        <v>415</v>
      </c>
      <c r="L112" s="744">
        <f t="shared" si="39"/>
        <v>-3.9351851851851853E-2</v>
      </c>
    </row>
    <row r="113" spans="1:12" ht="17.25" customHeight="1" x14ac:dyDescent="0.3">
      <c r="A113" s="536" t="s">
        <v>421</v>
      </c>
      <c r="B113" s="537"/>
      <c r="C113" s="537"/>
      <c r="D113" s="733"/>
      <c r="E113" s="537"/>
      <c r="F113" s="733"/>
      <c r="G113" s="537"/>
      <c r="H113" s="538"/>
      <c r="I113" s="537"/>
      <c r="J113" s="538"/>
      <c r="K113" s="537"/>
      <c r="L113" s="743"/>
    </row>
    <row r="114" spans="1:12" s="368" customFormat="1" ht="17.25" customHeight="1" x14ac:dyDescent="0.3">
      <c r="A114" s="860" t="s">
        <v>502</v>
      </c>
      <c r="B114" s="701">
        <v>13</v>
      </c>
      <c r="C114" s="701">
        <v>15</v>
      </c>
      <c r="D114" s="734">
        <f t="shared" ref="D114:D125" si="40">IF(B114&gt;0,(C114-B114)/B114,(IF(C114=0,"N/A",100%)))</f>
        <v>0.15384615384615385</v>
      </c>
      <c r="E114" s="701">
        <v>12</v>
      </c>
      <c r="F114" s="734">
        <f t="shared" ref="F114:F125" si="41">IF(C114&gt;0,(E114-C114)/C114,(IF(E114=0,"N/A",100%)))</f>
        <v>-0.2</v>
      </c>
      <c r="G114" s="701">
        <v>11</v>
      </c>
      <c r="H114" s="542">
        <f t="shared" ref="H114:H125" si="42">IF(E114&gt;0,(G114-E114)/E114,(IF(G114=0,"N/A",100%)))</f>
        <v>-8.3333333333333329E-2</v>
      </c>
      <c r="I114" s="701">
        <v>7</v>
      </c>
      <c r="J114" s="542">
        <f t="shared" ref="J114:J125" si="43">IF(G114&gt;0,(I114-G114)/G114,(IF(I114=0,"N/A",100%)))</f>
        <v>-0.36363636363636365</v>
      </c>
      <c r="K114" s="701">
        <v>4</v>
      </c>
      <c r="L114" s="744">
        <f t="shared" ref="L114:L125" si="44">IF(I114&gt;0,(K114-I114)/I114,(IF(K114=0,"N/A",100%)))</f>
        <v>-0.42857142857142855</v>
      </c>
    </row>
    <row r="115" spans="1:12" ht="17.25" customHeight="1" x14ac:dyDescent="0.3">
      <c r="A115" s="540" t="s">
        <v>1077</v>
      </c>
      <c r="B115" s="541">
        <v>69</v>
      </c>
      <c r="C115" s="541">
        <v>48</v>
      </c>
      <c r="D115" s="734">
        <f t="shared" si="40"/>
        <v>-0.30434782608695654</v>
      </c>
      <c r="E115" s="541">
        <v>48</v>
      </c>
      <c r="F115" s="734">
        <f t="shared" si="41"/>
        <v>0</v>
      </c>
      <c r="G115" s="541">
        <v>36</v>
      </c>
      <c r="H115" s="542">
        <f t="shared" si="42"/>
        <v>-0.25</v>
      </c>
      <c r="I115" s="541">
        <v>32</v>
      </c>
      <c r="J115" s="542">
        <f t="shared" si="43"/>
        <v>-0.1111111111111111</v>
      </c>
      <c r="K115" s="541">
        <v>24</v>
      </c>
      <c r="L115" s="744">
        <f t="shared" si="44"/>
        <v>-0.25</v>
      </c>
    </row>
    <row r="116" spans="1:12" ht="17.25" customHeight="1" x14ac:dyDescent="0.3">
      <c r="A116" s="540" t="s">
        <v>719</v>
      </c>
      <c r="B116" s="541">
        <v>2</v>
      </c>
      <c r="C116" s="541">
        <v>1</v>
      </c>
      <c r="D116" s="734">
        <f t="shared" si="40"/>
        <v>-0.5</v>
      </c>
      <c r="E116" s="541">
        <v>0</v>
      </c>
      <c r="F116" s="734">
        <f t="shared" si="41"/>
        <v>-1</v>
      </c>
      <c r="G116" s="541">
        <v>0</v>
      </c>
      <c r="H116" s="542" t="str">
        <f t="shared" si="42"/>
        <v>N/A</v>
      </c>
      <c r="I116" s="541">
        <v>0</v>
      </c>
      <c r="J116" s="542" t="str">
        <f t="shared" si="43"/>
        <v>N/A</v>
      </c>
      <c r="K116" s="541">
        <v>0</v>
      </c>
      <c r="L116" s="744" t="str">
        <f t="shared" si="44"/>
        <v>N/A</v>
      </c>
    </row>
    <row r="117" spans="1:12" ht="17.25" customHeight="1" x14ac:dyDescent="0.3">
      <c r="A117" s="540" t="s">
        <v>1317</v>
      </c>
      <c r="B117" s="541">
        <v>7</v>
      </c>
      <c r="C117" s="541">
        <v>0</v>
      </c>
      <c r="D117" s="734">
        <f t="shared" si="40"/>
        <v>-1</v>
      </c>
      <c r="E117" s="541">
        <v>0</v>
      </c>
      <c r="F117" s="734" t="str">
        <f t="shared" si="41"/>
        <v>N/A</v>
      </c>
      <c r="G117" s="541">
        <v>0</v>
      </c>
      <c r="H117" s="542" t="str">
        <f t="shared" si="42"/>
        <v>N/A</v>
      </c>
      <c r="I117" s="541">
        <v>0</v>
      </c>
      <c r="J117" s="542" t="str">
        <f t="shared" si="43"/>
        <v>N/A</v>
      </c>
      <c r="K117" s="541">
        <v>0</v>
      </c>
      <c r="L117" s="744" t="str">
        <f t="shared" si="44"/>
        <v>N/A</v>
      </c>
    </row>
    <row r="118" spans="1:12" ht="17.25" customHeight="1" x14ac:dyDescent="0.3">
      <c r="A118" s="540" t="s">
        <v>732</v>
      </c>
      <c r="B118" s="541">
        <v>8</v>
      </c>
      <c r="C118" s="541">
        <v>9</v>
      </c>
      <c r="D118" s="734">
        <f t="shared" si="40"/>
        <v>0.125</v>
      </c>
      <c r="E118" s="541">
        <v>4</v>
      </c>
      <c r="F118" s="734">
        <f t="shared" si="41"/>
        <v>-0.55555555555555558</v>
      </c>
      <c r="G118" s="541">
        <v>8</v>
      </c>
      <c r="H118" s="542">
        <f t="shared" si="42"/>
        <v>1</v>
      </c>
      <c r="I118" s="541">
        <v>4</v>
      </c>
      <c r="J118" s="542">
        <f t="shared" si="43"/>
        <v>-0.5</v>
      </c>
      <c r="K118" s="541">
        <v>10</v>
      </c>
      <c r="L118" s="744">
        <f t="shared" si="44"/>
        <v>1.5</v>
      </c>
    </row>
    <row r="119" spans="1:12" ht="17.25" customHeight="1" x14ac:dyDescent="0.3">
      <c r="A119" s="540" t="s">
        <v>1303</v>
      </c>
      <c r="B119" s="541">
        <v>2</v>
      </c>
      <c r="C119" s="541">
        <v>9</v>
      </c>
      <c r="D119" s="734">
        <f t="shared" si="40"/>
        <v>3.5</v>
      </c>
      <c r="E119" s="541">
        <v>6</v>
      </c>
      <c r="F119" s="734">
        <f t="shared" si="41"/>
        <v>-0.33333333333333331</v>
      </c>
      <c r="G119" s="541">
        <v>2</v>
      </c>
      <c r="H119" s="542">
        <f t="shared" si="42"/>
        <v>-0.66666666666666663</v>
      </c>
      <c r="I119" s="541">
        <v>1</v>
      </c>
      <c r="J119" s="542">
        <f t="shared" si="43"/>
        <v>-0.5</v>
      </c>
      <c r="K119" s="541">
        <v>0</v>
      </c>
      <c r="L119" s="744">
        <f t="shared" si="44"/>
        <v>-1</v>
      </c>
    </row>
    <row r="120" spans="1:12" ht="17.25" customHeight="1" x14ac:dyDescent="0.3">
      <c r="A120" s="540" t="s">
        <v>1053</v>
      </c>
      <c r="B120" s="541">
        <v>57</v>
      </c>
      <c r="C120" s="541">
        <v>45</v>
      </c>
      <c r="D120" s="734">
        <f t="shared" si="40"/>
        <v>-0.21052631578947367</v>
      </c>
      <c r="E120" s="541">
        <v>34</v>
      </c>
      <c r="F120" s="734">
        <f t="shared" si="41"/>
        <v>-0.24444444444444444</v>
      </c>
      <c r="G120" s="541">
        <v>45</v>
      </c>
      <c r="H120" s="542">
        <f t="shared" si="42"/>
        <v>0.3235294117647059</v>
      </c>
      <c r="I120" s="541">
        <v>65</v>
      </c>
      <c r="J120" s="542">
        <f t="shared" si="43"/>
        <v>0.44444444444444442</v>
      </c>
      <c r="K120" s="541">
        <v>66</v>
      </c>
      <c r="L120" s="744">
        <f t="shared" si="44"/>
        <v>1.5384615384615385E-2</v>
      </c>
    </row>
    <row r="121" spans="1:12" ht="17.25" customHeight="1" x14ac:dyDescent="0.3">
      <c r="A121" s="540" t="s">
        <v>1054</v>
      </c>
      <c r="B121" s="541">
        <v>4</v>
      </c>
      <c r="C121" s="541">
        <v>7</v>
      </c>
      <c r="D121" s="734">
        <f t="shared" si="40"/>
        <v>0.75</v>
      </c>
      <c r="E121" s="541">
        <v>5</v>
      </c>
      <c r="F121" s="734">
        <f t="shared" si="41"/>
        <v>-0.2857142857142857</v>
      </c>
      <c r="G121" s="541">
        <v>0</v>
      </c>
      <c r="H121" s="542">
        <f t="shared" si="42"/>
        <v>-1</v>
      </c>
      <c r="I121" s="541">
        <v>1</v>
      </c>
      <c r="J121" s="542">
        <f t="shared" si="43"/>
        <v>1</v>
      </c>
      <c r="K121" s="541">
        <v>0</v>
      </c>
      <c r="L121" s="744">
        <f t="shared" si="44"/>
        <v>-1</v>
      </c>
    </row>
    <row r="122" spans="1:12" ht="17.25" customHeight="1" x14ac:dyDescent="0.3">
      <c r="A122" s="540" t="s">
        <v>1055</v>
      </c>
      <c r="B122" s="541">
        <v>54</v>
      </c>
      <c r="C122" s="541">
        <v>61</v>
      </c>
      <c r="D122" s="734">
        <f t="shared" si="40"/>
        <v>0.12962962962962962</v>
      </c>
      <c r="E122" s="541">
        <v>61</v>
      </c>
      <c r="F122" s="734">
        <f t="shared" si="41"/>
        <v>0</v>
      </c>
      <c r="G122" s="541">
        <v>74</v>
      </c>
      <c r="H122" s="542">
        <f t="shared" si="42"/>
        <v>0.21311475409836064</v>
      </c>
      <c r="I122" s="541">
        <v>76</v>
      </c>
      <c r="J122" s="542">
        <f t="shared" si="43"/>
        <v>2.7027027027027029E-2</v>
      </c>
      <c r="K122" s="541">
        <v>83</v>
      </c>
      <c r="L122" s="744">
        <f t="shared" si="44"/>
        <v>9.2105263157894732E-2</v>
      </c>
    </row>
    <row r="123" spans="1:12" ht="17.25" customHeight="1" x14ac:dyDescent="0.3">
      <c r="A123" s="540" t="s">
        <v>1056</v>
      </c>
      <c r="B123" s="541">
        <v>5</v>
      </c>
      <c r="C123" s="541">
        <v>4</v>
      </c>
      <c r="D123" s="734">
        <f t="shared" si="40"/>
        <v>-0.2</v>
      </c>
      <c r="E123" s="541">
        <v>2</v>
      </c>
      <c r="F123" s="734">
        <f t="shared" si="41"/>
        <v>-0.5</v>
      </c>
      <c r="G123" s="541">
        <v>2</v>
      </c>
      <c r="H123" s="542">
        <f t="shared" si="42"/>
        <v>0</v>
      </c>
      <c r="I123" s="541">
        <v>1</v>
      </c>
      <c r="J123" s="542">
        <f t="shared" si="43"/>
        <v>-0.5</v>
      </c>
      <c r="K123" s="541">
        <v>0</v>
      </c>
      <c r="L123" s="744">
        <f t="shared" si="44"/>
        <v>-1</v>
      </c>
    </row>
    <row r="124" spans="1:12" ht="17.25" customHeight="1" x14ac:dyDescent="0.3">
      <c r="A124" s="546" t="s">
        <v>961</v>
      </c>
      <c r="B124" s="541">
        <f>SUM(B114:B123)</f>
        <v>221</v>
      </c>
      <c r="C124" s="541">
        <f>SUM(C114:C123)</f>
        <v>199</v>
      </c>
      <c r="D124" s="734">
        <f t="shared" si="40"/>
        <v>-9.9547511312217188E-2</v>
      </c>
      <c r="E124" s="541">
        <f>SUM(E114:E123)</f>
        <v>172</v>
      </c>
      <c r="F124" s="734">
        <f t="shared" si="41"/>
        <v>-0.135678391959799</v>
      </c>
      <c r="G124" s="541">
        <f>SUM(G114:G123)</f>
        <v>178</v>
      </c>
      <c r="H124" s="542">
        <f t="shared" si="42"/>
        <v>3.4883720930232558E-2</v>
      </c>
      <c r="I124" s="541">
        <f>SUM(I114:I123)</f>
        <v>187</v>
      </c>
      <c r="J124" s="542">
        <f t="shared" si="43"/>
        <v>5.0561797752808987E-2</v>
      </c>
      <c r="K124" s="541">
        <f>SUM(K114:K123)</f>
        <v>187</v>
      </c>
      <c r="L124" s="744">
        <f t="shared" si="44"/>
        <v>0</v>
      </c>
    </row>
    <row r="125" spans="1:12" ht="17.25" customHeight="1" thickBot="1" x14ac:dyDescent="0.35">
      <c r="A125" s="549" t="s">
        <v>422</v>
      </c>
      <c r="B125" s="550">
        <f>+B124+B112</f>
        <v>619</v>
      </c>
      <c r="C125" s="550">
        <f>+C124+C112</f>
        <v>648</v>
      </c>
      <c r="D125" s="736">
        <f t="shared" si="40"/>
        <v>4.6849757673667204E-2</v>
      </c>
      <c r="E125" s="550">
        <f>+E124+E112</f>
        <v>656</v>
      </c>
      <c r="F125" s="736">
        <f t="shared" si="41"/>
        <v>1.2345679012345678E-2</v>
      </c>
      <c r="G125" s="550">
        <f>+G124+G112</f>
        <v>647</v>
      </c>
      <c r="H125" s="556">
        <f t="shared" si="42"/>
        <v>-1.3719512195121951E-2</v>
      </c>
      <c r="I125" s="550">
        <f>+I124+I112</f>
        <v>619</v>
      </c>
      <c r="J125" s="556">
        <f t="shared" si="43"/>
        <v>-4.3276661514683151E-2</v>
      </c>
      <c r="K125" s="550">
        <f>+K124+K112</f>
        <v>602</v>
      </c>
      <c r="L125" s="1391">
        <f t="shared" si="44"/>
        <v>-2.7463651050080775E-2</v>
      </c>
    </row>
    <row r="126" spans="1:12" ht="17.25" customHeight="1" thickTop="1" x14ac:dyDescent="0.3">
      <c r="A126" s="536" t="s">
        <v>930</v>
      </c>
      <c r="B126" s="537"/>
      <c r="C126" s="537"/>
      <c r="D126" s="733"/>
      <c r="E126" s="537"/>
      <c r="F126" s="733"/>
      <c r="G126" s="537"/>
      <c r="H126" s="538"/>
      <c r="I126" s="537"/>
      <c r="J126" s="538"/>
      <c r="K126" s="537"/>
      <c r="L126" s="743"/>
    </row>
    <row r="127" spans="1:12" ht="17.25" customHeight="1" x14ac:dyDescent="0.3">
      <c r="A127" s="540" t="s">
        <v>1091</v>
      </c>
      <c r="B127" s="541">
        <f>91+55</f>
        <v>146</v>
      </c>
      <c r="C127" s="541">
        <f>100+26</f>
        <v>126</v>
      </c>
      <c r="D127" s="734">
        <f t="shared" ref="D127:D132" si="45">IF(B127&gt;0,(C127-B127)/B127,(IF(C127=0,"N/A",100%)))</f>
        <v>-0.13698630136986301</v>
      </c>
      <c r="E127" s="541">
        <v>205</v>
      </c>
      <c r="F127" s="734">
        <f t="shared" ref="F127:F132" si="46">IF(C127&gt;0,(E127-C127)/C127,(IF(E127=0,"N/A",100%)))</f>
        <v>0.62698412698412698</v>
      </c>
      <c r="G127" s="541">
        <v>315</v>
      </c>
      <c r="H127" s="542">
        <f t="shared" ref="H127:H132" si="47">IF(E127&gt;0,(G127-E127)/E127,(IF(G127=0,"N/A",100%)))</f>
        <v>0.53658536585365857</v>
      </c>
      <c r="I127" s="541">
        <v>343</v>
      </c>
      <c r="J127" s="542">
        <f t="shared" ref="J127:J132" si="48">IF(G127&gt;0,(I127-G127)/G127,(IF(I127=0,"N/A",100%)))</f>
        <v>8.8888888888888892E-2</v>
      </c>
      <c r="K127" s="541">
        <v>136</v>
      </c>
      <c r="L127" s="744">
        <f t="shared" ref="L127:L132" si="49">IF(I127&gt;0,(K127-I127)/I127,(IF(K127=0,"N/A",100%)))</f>
        <v>-0.60349854227405253</v>
      </c>
    </row>
    <row r="128" spans="1:12" ht="17.25" customHeight="1" x14ac:dyDescent="0.3">
      <c r="A128" s="540" t="s">
        <v>1092</v>
      </c>
      <c r="B128" s="541">
        <v>0</v>
      </c>
      <c r="C128" s="541">
        <v>0</v>
      </c>
      <c r="D128" s="734" t="str">
        <f t="shared" si="45"/>
        <v>N/A</v>
      </c>
      <c r="E128" s="541">
        <v>0</v>
      </c>
      <c r="F128" s="734" t="str">
        <f t="shared" si="46"/>
        <v>N/A</v>
      </c>
      <c r="G128" s="541">
        <v>0</v>
      </c>
      <c r="H128" s="542" t="str">
        <f t="shared" si="47"/>
        <v>N/A</v>
      </c>
      <c r="I128" s="541">
        <v>0</v>
      </c>
      <c r="J128" s="542" t="str">
        <f t="shared" si="48"/>
        <v>N/A</v>
      </c>
      <c r="K128" s="541">
        <v>0</v>
      </c>
      <c r="L128" s="744" t="str">
        <f t="shared" si="49"/>
        <v>N/A</v>
      </c>
    </row>
    <row r="129" spans="1:12" ht="17.25" customHeight="1" x14ac:dyDescent="0.3">
      <c r="A129" s="540" t="s">
        <v>1093</v>
      </c>
      <c r="B129" s="541">
        <v>0</v>
      </c>
      <c r="C129" s="541">
        <v>0</v>
      </c>
      <c r="D129" s="734" t="str">
        <f t="shared" si="45"/>
        <v>N/A</v>
      </c>
      <c r="E129" s="541">
        <v>0</v>
      </c>
      <c r="F129" s="734" t="str">
        <f t="shared" si="46"/>
        <v>N/A</v>
      </c>
      <c r="G129" s="541">
        <v>0</v>
      </c>
      <c r="H129" s="542" t="str">
        <f t="shared" si="47"/>
        <v>N/A</v>
      </c>
      <c r="I129" s="541">
        <v>0</v>
      </c>
      <c r="J129" s="542" t="str">
        <f t="shared" si="48"/>
        <v>N/A</v>
      </c>
      <c r="K129" s="541">
        <v>0</v>
      </c>
      <c r="L129" s="744" t="str">
        <f t="shared" si="49"/>
        <v>N/A</v>
      </c>
    </row>
    <row r="130" spans="1:12" ht="17.25" customHeight="1" x14ac:dyDescent="0.3">
      <c r="A130" s="540" t="s">
        <v>1094</v>
      </c>
      <c r="B130" s="541">
        <v>46</v>
      </c>
      <c r="C130" s="541">
        <v>50</v>
      </c>
      <c r="D130" s="734">
        <f t="shared" si="45"/>
        <v>8.6956521739130432E-2</v>
      </c>
      <c r="E130" s="541">
        <v>58</v>
      </c>
      <c r="F130" s="734">
        <f t="shared" si="46"/>
        <v>0.16</v>
      </c>
      <c r="G130" s="541">
        <v>19</v>
      </c>
      <c r="H130" s="542">
        <f t="shared" si="47"/>
        <v>-0.67241379310344829</v>
      </c>
      <c r="I130" s="541">
        <v>21</v>
      </c>
      <c r="J130" s="542">
        <f t="shared" si="48"/>
        <v>0.10526315789473684</v>
      </c>
      <c r="K130" s="541">
        <v>181</v>
      </c>
      <c r="L130" s="744">
        <f t="shared" si="49"/>
        <v>7.6190476190476186</v>
      </c>
    </row>
    <row r="131" spans="1:12" ht="17.25" customHeight="1" x14ac:dyDescent="0.3">
      <c r="A131" s="546" t="s">
        <v>961</v>
      </c>
      <c r="B131" s="559">
        <f>SUM(B127:B130)</f>
        <v>192</v>
      </c>
      <c r="C131" s="559">
        <f>SUM(C127:C130)</f>
        <v>176</v>
      </c>
      <c r="D131" s="734">
        <f t="shared" si="45"/>
        <v>-8.3333333333333329E-2</v>
      </c>
      <c r="E131" s="559">
        <f>SUM(E127:E130)</f>
        <v>263</v>
      </c>
      <c r="F131" s="734">
        <f t="shared" si="46"/>
        <v>0.49431818181818182</v>
      </c>
      <c r="G131" s="559">
        <f>SUM(G127:G130)</f>
        <v>334</v>
      </c>
      <c r="H131" s="542">
        <f t="shared" si="47"/>
        <v>0.26996197718631176</v>
      </c>
      <c r="I131" s="559">
        <f>SUM(I127:I130)</f>
        <v>364</v>
      </c>
      <c r="J131" s="542">
        <f t="shared" si="48"/>
        <v>8.9820359281437126E-2</v>
      </c>
      <c r="K131" s="559">
        <f>SUM(K127:K130)</f>
        <v>317</v>
      </c>
      <c r="L131" s="744">
        <f t="shared" si="49"/>
        <v>-0.12912087912087913</v>
      </c>
    </row>
    <row r="132" spans="1:12" ht="18" customHeight="1" thickBot="1" x14ac:dyDescent="0.35">
      <c r="A132" s="648" t="s">
        <v>949</v>
      </c>
      <c r="B132" s="649">
        <f>+B131+B125+B102+B66+B33</f>
        <v>2304</v>
      </c>
      <c r="C132" s="649">
        <f>+C131+C125+C102+C66+C33</f>
        <v>2476</v>
      </c>
      <c r="D132" s="737">
        <f t="shared" si="45"/>
        <v>7.4652777777777776E-2</v>
      </c>
      <c r="E132" s="649">
        <f>+E131+E125+E102+E66+E33</f>
        <v>2691</v>
      </c>
      <c r="F132" s="737">
        <f t="shared" si="46"/>
        <v>8.6833602584814221E-2</v>
      </c>
      <c r="G132" s="649">
        <f>+G131+G125+G102+G66+G33</f>
        <v>2846</v>
      </c>
      <c r="H132" s="650">
        <f t="shared" si="47"/>
        <v>5.7599405425492384E-2</v>
      </c>
      <c r="I132" s="649">
        <f>+I131+I125+I102+I66+I33</f>
        <v>2849</v>
      </c>
      <c r="J132" s="650">
        <f t="shared" si="48"/>
        <v>1.0541110330288123E-3</v>
      </c>
      <c r="K132" s="649">
        <f>+K131+K125+K102+K66+K33</f>
        <v>2780</v>
      </c>
      <c r="L132" s="1394">
        <f t="shared" si="49"/>
        <v>-2.4219024219024218E-2</v>
      </c>
    </row>
    <row r="133" spans="1:12" ht="18" customHeight="1" thickTop="1" x14ac:dyDescent="0.25">
      <c r="A133" s="560" t="s">
        <v>1119</v>
      </c>
      <c r="B133" s="561"/>
      <c r="C133" s="561"/>
      <c r="D133" s="562"/>
      <c r="E133" s="561"/>
      <c r="F133" s="562"/>
      <c r="G133" s="561"/>
      <c r="H133" s="562"/>
    </row>
  </sheetData>
  <mergeCells count="5">
    <mergeCell ref="A1:L1"/>
    <mergeCell ref="A2:L2"/>
    <mergeCell ref="A34:L34"/>
    <mergeCell ref="A67:L67"/>
    <mergeCell ref="A103:L103"/>
  </mergeCells>
  <phoneticPr fontId="15" type="noConversion"/>
  <printOptions horizontalCentered="1" verticalCentered="1"/>
  <pageMargins left="0.2" right="0.2" top="0.3" bottom="0.4" header="0" footer="0.15"/>
  <pageSetup scale="52" orientation="landscape" r:id="rId1"/>
  <headerFooter alignWithMargins="0">
    <oddFooter>&amp;LSource: Office of Institutional Research</oddFooter>
  </headerFooter>
  <rowBreaks count="1" manualBreakCount="1">
    <brk id="66" max="16383" man="1"/>
  </rowBreaks>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3"/>
  <dimension ref="A1:P123"/>
  <sheetViews>
    <sheetView zoomScale="80" zoomScaleNormal="80" workbookViewId="0">
      <selection sqref="A1:P1"/>
    </sheetView>
  </sheetViews>
  <sheetFormatPr defaultRowHeight="13.2" x14ac:dyDescent="0.25"/>
  <cols>
    <col min="1" max="1" width="72.109375" customWidth="1"/>
    <col min="2" max="3" width="15.44140625" hidden="1" customWidth="1"/>
    <col min="4" max="4" width="15.44140625" style="7" hidden="1" customWidth="1"/>
    <col min="5" max="5" width="15.44140625" hidden="1" customWidth="1"/>
    <col min="6" max="6" width="15.44140625" style="7" hidden="1" customWidth="1"/>
    <col min="7" max="7" width="15.44140625" customWidth="1"/>
    <col min="8" max="8" width="15.44140625" style="7" customWidth="1"/>
    <col min="9" max="9" width="15.5546875" customWidth="1"/>
    <col min="10" max="10" width="15.44140625" customWidth="1"/>
    <col min="11" max="14" width="15.33203125" customWidth="1"/>
    <col min="15" max="16" width="15.44140625" customWidth="1"/>
  </cols>
  <sheetData>
    <row r="1" spans="1:16" ht="19.8" thickBot="1" x14ac:dyDescent="0.4">
      <c r="A1" s="1762" t="s">
        <v>186</v>
      </c>
      <c r="B1" s="1762"/>
      <c r="C1" s="1762"/>
      <c r="D1" s="1762"/>
      <c r="E1" s="1762"/>
      <c r="F1" s="1762"/>
      <c r="G1" s="1762"/>
      <c r="H1" s="1762"/>
      <c r="I1" s="1762"/>
      <c r="J1" s="1762"/>
      <c r="K1" s="1762"/>
      <c r="L1" s="1762"/>
      <c r="M1" s="1762"/>
      <c r="N1" s="1762"/>
      <c r="O1" s="1762"/>
      <c r="P1" s="1762"/>
    </row>
    <row r="2" spans="1:16" ht="20.25" customHeight="1" thickTop="1" thickBot="1" x14ac:dyDescent="0.35">
      <c r="A2" s="1736" t="s">
        <v>400</v>
      </c>
      <c r="B2" s="1737"/>
      <c r="C2" s="1737"/>
      <c r="D2" s="1737"/>
      <c r="E2" s="1737"/>
      <c r="F2" s="1737"/>
      <c r="G2" s="1737"/>
      <c r="H2" s="1737"/>
      <c r="I2" s="1737"/>
      <c r="J2" s="1737"/>
      <c r="K2" s="1737"/>
      <c r="L2" s="1737"/>
      <c r="M2" s="1737"/>
      <c r="N2" s="1737"/>
      <c r="O2" s="1737"/>
      <c r="P2" s="1738"/>
    </row>
    <row r="3" spans="1:16" ht="20.25" customHeight="1" thickTop="1" x14ac:dyDescent="0.3">
      <c r="A3" s="800" t="s">
        <v>401</v>
      </c>
      <c r="B3" s="673">
        <v>2002</v>
      </c>
      <c r="C3" s="673">
        <f>+B3+1</f>
        <v>2003</v>
      </c>
      <c r="D3" s="801" t="s">
        <v>1046</v>
      </c>
      <c r="E3" s="673">
        <v>2008</v>
      </c>
      <c r="F3" s="801" t="s">
        <v>1046</v>
      </c>
      <c r="G3" s="673">
        <f>E3+1</f>
        <v>2009</v>
      </c>
      <c r="H3" s="801" t="s">
        <v>1046</v>
      </c>
      <c r="I3" s="673">
        <f>G3+1</f>
        <v>2010</v>
      </c>
      <c r="J3" s="802" t="s">
        <v>1046</v>
      </c>
      <c r="K3" s="673">
        <f>I3+1</f>
        <v>2011</v>
      </c>
      <c r="L3" s="801" t="s">
        <v>1046</v>
      </c>
      <c r="M3" s="673">
        <f>K3+1</f>
        <v>2012</v>
      </c>
      <c r="N3" s="952" t="s">
        <v>1046</v>
      </c>
      <c r="O3" s="673">
        <f>M3+1</f>
        <v>2013</v>
      </c>
      <c r="P3" s="803" t="s">
        <v>1046</v>
      </c>
    </row>
    <row r="4" spans="1:16" ht="18" customHeight="1" x14ac:dyDescent="0.3">
      <c r="A4" s="536" t="s">
        <v>402</v>
      </c>
      <c r="B4" s="537"/>
      <c r="C4" s="537"/>
      <c r="D4" s="538"/>
      <c r="E4" s="537"/>
      <c r="F4" s="538"/>
      <c r="G4" s="537"/>
      <c r="H4" s="538"/>
      <c r="I4" s="537"/>
      <c r="J4" s="733"/>
      <c r="K4" s="537"/>
      <c r="L4" s="538"/>
      <c r="M4" s="537"/>
      <c r="N4" s="538"/>
      <c r="O4" s="537"/>
      <c r="P4" s="539"/>
    </row>
    <row r="5" spans="1:16" ht="18" customHeight="1" x14ac:dyDescent="0.3">
      <c r="A5" s="540" t="s">
        <v>1057</v>
      </c>
      <c r="B5" s="541">
        <v>14</v>
      </c>
      <c r="C5" s="541">
        <v>21</v>
      </c>
      <c r="D5" s="543">
        <f>IF(B5&gt;0,(C5-B5)/B5,(IF(C5=0,"N/A",100%)))</f>
        <v>0.5</v>
      </c>
      <c r="E5" s="541">
        <v>22</v>
      </c>
      <c r="F5" s="542">
        <f>IF(C5&gt;0,(E5-C5)/C5,(IF(E5=0,"N/A",100%)))</f>
        <v>4.7619047619047616E-2</v>
      </c>
      <c r="G5" s="541">
        <v>37</v>
      </c>
      <c r="H5" s="542">
        <f>IF(E5&gt;0,(G5-E5)/E5,(IF(G5=0,"N/A",100%)))</f>
        <v>0.68181818181818177</v>
      </c>
      <c r="I5" s="541">
        <v>26</v>
      </c>
      <c r="J5" s="734">
        <f>IF(G5&gt;0,(I5-G5)/G5,(IF(I5=0,"N/A",100%)))</f>
        <v>-0.29729729729729731</v>
      </c>
      <c r="K5" s="541">
        <v>32</v>
      </c>
      <c r="L5" s="542">
        <f>IF(I5&gt;0,(K5-I5)/I5,(IF(K5=0,"N/A",100%)))</f>
        <v>0.23076923076923078</v>
      </c>
      <c r="M5" s="541">
        <v>26</v>
      </c>
      <c r="N5" s="542">
        <f>IF(K5&gt;0,(M5-K5)/K5,(IF(M5=0,"N/A",100%)))</f>
        <v>-0.1875</v>
      </c>
      <c r="O5" s="541">
        <v>21</v>
      </c>
      <c r="P5" s="544">
        <f>IF(M5&gt;0,(O5-M5)/M5,(IF(O5=0,"N/A",100%)))</f>
        <v>-0.19230769230769232</v>
      </c>
    </row>
    <row r="6" spans="1:16" ht="18" customHeight="1" x14ac:dyDescent="0.3">
      <c r="A6" s="540" t="s">
        <v>698</v>
      </c>
      <c r="B6" s="541">
        <v>0</v>
      </c>
      <c r="C6" s="541">
        <v>0</v>
      </c>
      <c r="D6" s="543" t="str">
        <f>IF(B6&gt;0,(C6-B6)/B6,(IF(C6=0,"N/A",100%)))</f>
        <v>N/A</v>
      </c>
      <c r="E6" s="541">
        <v>1</v>
      </c>
      <c r="F6" s="542">
        <f>IF(C6&gt;0,(E6-C6)/C6,(IF(E6=0,"N/A",100%)))</f>
        <v>1</v>
      </c>
      <c r="G6" s="541">
        <v>1</v>
      </c>
      <c r="H6" s="542">
        <f>IF(E6&gt;0,(G6-E6)/E6,(IF(G6=0,"N/A",100%)))</f>
        <v>0</v>
      </c>
      <c r="I6" s="541">
        <v>2</v>
      </c>
      <c r="J6" s="734">
        <f>IF(G6&gt;0,(I6-G6)/G6,(IF(I6=0,"N/A",100%)))</f>
        <v>1</v>
      </c>
      <c r="K6" s="541">
        <v>1</v>
      </c>
      <c r="L6" s="542">
        <f>IF(I6&gt;0,(K6-I6)/I6,(IF(K6=0,"N/A",100%)))</f>
        <v>-0.5</v>
      </c>
      <c r="M6" s="541">
        <v>2</v>
      </c>
      <c r="N6" s="542">
        <f>IF(K6&gt;0,(M6-K6)/K6,(IF(M6=0,"N/A",100%)))</f>
        <v>1</v>
      </c>
      <c r="O6" s="541">
        <v>2</v>
      </c>
      <c r="P6" s="544">
        <f>IF(M6&gt;0,(O6-M6)/M6,(IF(O6=0,"N/A",100%)))</f>
        <v>0</v>
      </c>
    </row>
    <row r="7" spans="1:16" ht="18" customHeight="1" x14ac:dyDescent="0.3">
      <c r="A7" s="540" t="s">
        <v>588</v>
      </c>
      <c r="B7" s="541">
        <v>0</v>
      </c>
      <c r="C7" s="541">
        <v>1</v>
      </c>
      <c r="D7" s="542">
        <f>IF(B7&gt;0,(C7-B7)/B7,(IF(C7=0,"N/A",100%)))</f>
        <v>1</v>
      </c>
      <c r="E7" s="541">
        <v>0</v>
      </c>
      <c r="F7" s="542">
        <f>IF(C7&gt;0,(E7-C7)/C7,(IF(E7=0,"N/A",100%)))</f>
        <v>-1</v>
      </c>
      <c r="G7" s="541">
        <v>0</v>
      </c>
      <c r="H7" s="542" t="str">
        <f>IF(E7&gt;0,(G7-E7)/E7,(IF(G7=0,"N/A",100%)))</f>
        <v>N/A</v>
      </c>
      <c r="I7" s="541">
        <v>0</v>
      </c>
      <c r="J7" s="734" t="str">
        <f>IF(G7&gt;0,(I7-G7)/G7,(IF(I7=0,"N/A",100%)))</f>
        <v>N/A</v>
      </c>
      <c r="K7" s="541">
        <v>0</v>
      </c>
      <c r="L7" s="542" t="str">
        <f>IF(I7&gt;0,(K7-I7)/I7,(IF(K7=0,"N/A",100%)))</f>
        <v>N/A</v>
      </c>
      <c r="M7" s="541">
        <v>0</v>
      </c>
      <c r="N7" s="542" t="str">
        <f>IF(K7&gt;0,(M7-K7)/K7,(IF(M7=0,"N/A",100%)))</f>
        <v>N/A</v>
      </c>
      <c r="O7" s="541">
        <v>1</v>
      </c>
      <c r="P7" s="544">
        <f>IF(M7&gt;0,(O7-M7)/M7,(IF(O7=0,"N/A",100%)))</f>
        <v>1</v>
      </c>
    </row>
    <row r="8" spans="1:16" ht="18" customHeight="1" x14ac:dyDescent="0.3">
      <c r="A8" s="546" t="s">
        <v>961</v>
      </c>
      <c r="B8" s="541">
        <f>SUM(B5:B7)</f>
        <v>14</v>
      </c>
      <c r="C8" s="541">
        <f>SUM(C5:C7)</f>
        <v>22</v>
      </c>
      <c r="D8" s="542">
        <f>IF(B8&gt;0,(C8-B8)/B8,(IF(C8=0,"N/A",100%)))</f>
        <v>0.5714285714285714</v>
      </c>
      <c r="E8" s="541">
        <f>SUM(E5:E7)</f>
        <v>23</v>
      </c>
      <c r="F8" s="542">
        <f>IF(C8&gt;0,(E8-C8)/C8,(IF(E8=0,"N/A",100%)))</f>
        <v>4.5454545454545456E-2</v>
      </c>
      <c r="G8" s="541">
        <f>SUM(G5:G7)</f>
        <v>38</v>
      </c>
      <c r="H8" s="542">
        <f>IF(E8&gt;0,(G8-E8)/E8,(IF(G8=0,"N/A",100%)))</f>
        <v>0.65217391304347827</v>
      </c>
      <c r="I8" s="541">
        <f>SUM(I5:I7)</f>
        <v>28</v>
      </c>
      <c r="J8" s="734">
        <f>IF(G8&gt;0,(I8-G8)/G8,(IF(I8=0,"N/A",100%)))</f>
        <v>-0.26315789473684209</v>
      </c>
      <c r="K8" s="541">
        <f>SUM(K5:K7)</f>
        <v>33</v>
      </c>
      <c r="L8" s="542">
        <f>IF(I8&gt;0,(K8-I8)/I8,(IF(K8=0,"N/A",100%)))</f>
        <v>0.17857142857142858</v>
      </c>
      <c r="M8" s="833">
        <f>SUM(M5:M7)</f>
        <v>28</v>
      </c>
      <c r="N8" s="542">
        <f>IF(K8&gt;0,(M8-K8)/K8,(IF(M8=0,"N/A",100%)))</f>
        <v>-0.15151515151515152</v>
      </c>
      <c r="O8" s="833">
        <f>SUM(O5:O7)</f>
        <v>24</v>
      </c>
      <c r="P8" s="544">
        <f>IF(M8&gt;0,(O8-M8)/M8,(IF(O8=0,"N/A",100%)))</f>
        <v>-0.14285714285714285</v>
      </c>
    </row>
    <row r="9" spans="1:16" ht="18" customHeight="1" x14ac:dyDescent="0.3">
      <c r="A9" s="536" t="s">
        <v>403</v>
      </c>
      <c r="B9" s="537"/>
      <c r="C9" s="537"/>
      <c r="D9" s="538"/>
      <c r="E9" s="537"/>
      <c r="F9" s="538"/>
      <c r="G9" s="537"/>
      <c r="H9" s="538"/>
      <c r="I9" s="537"/>
      <c r="J9" s="733"/>
      <c r="K9" s="537"/>
      <c r="L9" s="538"/>
      <c r="M9" s="537"/>
      <c r="N9" s="538"/>
      <c r="O9" s="537"/>
      <c r="P9" s="539"/>
    </row>
    <row r="10" spans="1:16" ht="18" customHeight="1" x14ac:dyDescent="0.3">
      <c r="A10" s="547" t="s">
        <v>1082</v>
      </c>
      <c r="B10" s="541">
        <v>8</v>
      </c>
      <c r="C10" s="541">
        <v>5</v>
      </c>
      <c r="D10" s="542">
        <f t="shared" ref="D10:D17" si="0">IF(B10&gt;0,(C10-B10)/B10,(IF(C10=0,"N/A",100%)))</f>
        <v>-0.375</v>
      </c>
      <c r="E10" s="541">
        <v>3</v>
      </c>
      <c r="F10" s="542">
        <f t="shared" ref="F10:F17" si="1">IF(C10&gt;0,(E10-C10)/C10,(IF(E10=0,"N/A",100%)))</f>
        <v>-0.4</v>
      </c>
      <c r="G10" s="541">
        <v>5</v>
      </c>
      <c r="H10" s="542">
        <f t="shared" ref="H10:H17" si="2">IF(E10&gt;0,(G10-E10)/E10,(IF(G10=0,"N/A",100%)))</f>
        <v>0.66666666666666663</v>
      </c>
      <c r="I10" s="541">
        <v>2</v>
      </c>
      <c r="J10" s="734">
        <f t="shared" ref="J10:J17" si="3">IF(G10&gt;0,(I10-G10)/G10,(IF(I10=0,"N/A",100%)))</f>
        <v>-0.6</v>
      </c>
      <c r="K10" s="541">
        <v>4</v>
      </c>
      <c r="L10" s="542">
        <f t="shared" ref="L10:L17" si="4">IF(I10&gt;0,(K10-I10)/I10,(IF(K10=0,"N/A",100%)))</f>
        <v>1</v>
      </c>
      <c r="M10" s="541">
        <v>1</v>
      </c>
      <c r="N10" s="542">
        <f t="shared" ref="N10:N17" si="5">IF(K10&gt;0,(M10-K10)/K10,(IF(M10=0,"N/A",100%)))</f>
        <v>-0.75</v>
      </c>
      <c r="O10" s="541">
        <v>0</v>
      </c>
      <c r="P10" s="544">
        <f t="shared" ref="P10:P17" si="6">IF(M10&gt;0,(O10-M10)/M10,(IF(O10=0,"N/A",100%)))</f>
        <v>-1</v>
      </c>
    </row>
    <row r="11" spans="1:16" ht="18" customHeight="1" x14ac:dyDescent="0.3">
      <c r="A11" s="540" t="s">
        <v>1083</v>
      </c>
      <c r="B11" s="541">
        <v>5</v>
      </c>
      <c r="C11" s="541">
        <v>4</v>
      </c>
      <c r="D11" s="542">
        <f t="shared" si="0"/>
        <v>-0.2</v>
      </c>
      <c r="E11" s="541">
        <v>0</v>
      </c>
      <c r="F11" s="542">
        <f t="shared" si="1"/>
        <v>-1</v>
      </c>
      <c r="G11" s="541">
        <v>0</v>
      </c>
      <c r="H11" s="542" t="str">
        <f t="shared" si="2"/>
        <v>N/A</v>
      </c>
      <c r="I11" s="541">
        <v>0</v>
      </c>
      <c r="J11" s="734" t="str">
        <f t="shared" si="3"/>
        <v>N/A</v>
      </c>
      <c r="K11" s="541">
        <v>0</v>
      </c>
      <c r="L11" s="542" t="str">
        <f t="shared" si="4"/>
        <v>N/A</v>
      </c>
      <c r="M11" s="541">
        <v>0</v>
      </c>
      <c r="N11" s="542" t="str">
        <f t="shared" si="5"/>
        <v>N/A</v>
      </c>
      <c r="O11" s="541">
        <v>4</v>
      </c>
      <c r="P11" s="544">
        <f t="shared" si="6"/>
        <v>1</v>
      </c>
    </row>
    <row r="12" spans="1:16" ht="18" customHeight="1" x14ac:dyDescent="0.3">
      <c r="A12" s="548" t="s">
        <v>1087</v>
      </c>
      <c r="B12" s="541">
        <v>14</v>
      </c>
      <c r="C12" s="541">
        <v>4</v>
      </c>
      <c r="D12" s="542">
        <f t="shared" si="0"/>
        <v>-0.7142857142857143</v>
      </c>
      <c r="E12" s="541">
        <v>1</v>
      </c>
      <c r="F12" s="542">
        <f t="shared" si="1"/>
        <v>-0.75</v>
      </c>
      <c r="G12" s="541">
        <v>3</v>
      </c>
      <c r="H12" s="542">
        <f t="shared" si="2"/>
        <v>2</v>
      </c>
      <c r="I12" s="541">
        <v>6</v>
      </c>
      <c r="J12" s="734">
        <f t="shared" si="3"/>
        <v>1</v>
      </c>
      <c r="K12" s="541">
        <v>2</v>
      </c>
      <c r="L12" s="542">
        <f t="shared" si="4"/>
        <v>-0.66666666666666663</v>
      </c>
      <c r="M12" s="541">
        <v>2</v>
      </c>
      <c r="N12" s="542">
        <f t="shared" si="5"/>
        <v>0</v>
      </c>
      <c r="O12" s="541">
        <v>0</v>
      </c>
      <c r="P12" s="544">
        <f t="shared" si="6"/>
        <v>-1</v>
      </c>
    </row>
    <row r="13" spans="1:16" ht="18" customHeight="1" x14ac:dyDescent="0.3">
      <c r="A13" s="540" t="s">
        <v>1084</v>
      </c>
      <c r="B13" s="541">
        <v>5</v>
      </c>
      <c r="C13" s="541">
        <v>4</v>
      </c>
      <c r="D13" s="542">
        <f t="shared" si="0"/>
        <v>-0.2</v>
      </c>
      <c r="E13" s="541">
        <v>1</v>
      </c>
      <c r="F13" s="542">
        <f t="shared" si="1"/>
        <v>-0.75</v>
      </c>
      <c r="G13" s="541">
        <v>1</v>
      </c>
      <c r="H13" s="542">
        <f t="shared" si="2"/>
        <v>0</v>
      </c>
      <c r="I13" s="541">
        <v>0</v>
      </c>
      <c r="J13" s="734">
        <f t="shared" si="3"/>
        <v>-1</v>
      </c>
      <c r="K13" s="541">
        <v>0</v>
      </c>
      <c r="L13" s="542" t="str">
        <f t="shared" si="4"/>
        <v>N/A</v>
      </c>
      <c r="M13" s="541">
        <v>0</v>
      </c>
      <c r="N13" s="542" t="str">
        <f t="shared" si="5"/>
        <v>N/A</v>
      </c>
      <c r="O13" s="541">
        <v>0</v>
      </c>
      <c r="P13" s="544" t="str">
        <f t="shared" si="6"/>
        <v>N/A</v>
      </c>
    </row>
    <row r="14" spans="1:16" ht="18" customHeight="1" x14ac:dyDescent="0.3">
      <c r="A14" s="540" t="s">
        <v>248</v>
      </c>
      <c r="B14" s="541">
        <v>0</v>
      </c>
      <c r="C14" s="541">
        <v>0</v>
      </c>
      <c r="D14" s="542" t="str">
        <f t="shared" si="0"/>
        <v>N/A</v>
      </c>
      <c r="E14" s="541">
        <v>5</v>
      </c>
      <c r="F14" s="542">
        <f t="shared" si="1"/>
        <v>1</v>
      </c>
      <c r="G14" s="541">
        <v>6</v>
      </c>
      <c r="H14" s="542">
        <f t="shared" si="2"/>
        <v>0.2</v>
      </c>
      <c r="I14" s="541">
        <v>4</v>
      </c>
      <c r="J14" s="734">
        <f t="shared" si="3"/>
        <v>-0.33333333333333331</v>
      </c>
      <c r="K14" s="541">
        <v>4</v>
      </c>
      <c r="L14" s="542">
        <f t="shared" si="4"/>
        <v>0</v>
      </c>
      <c r="M14" s="541">
        <v>3</v>
      </c>
      <c r="N14" s="542">
        <f t="shared" si="5"/>
        <v>-0.25</v>
      </c>
      <c r="O14" s="541">
        <v>0</v>
      </c>
      <c r="P14" s="544">
        <f t="shared" si="6"/>
        <v>-1</v>
      </c>
    </row>
    <row r="15" spans="1:16" ht="18" customHeight="1" x14ac:dyDescent="0.3">
      <c r="A15" s="547" t="s">
        <v>1085</v>
      </c>
      <c r="B15" s="541">
        <v>8</v>
      </c>
      <c r="C15" s="541">
        <v>5</v>
      </c>
      <c r="D15" s="542">
        <f t="shared" si="0"/>
        <v>-0.375</v>
      </c>
      <c r="E15" s="541">
        <v>1</v>
      </c>
      <c r="F15" s="542">
        <f t="shared" si="1"/>
        <v>-0.8</v>
      </c>
      <c r="G15" s="541">
        <v>4</v>
      </c>
      <c r="H15" s="542">
        <f t="shared" si="2"/>
        <v>3</v>
      </c>
      <c r="I15" s="541">
        <v>2</v>
      </c>
      <c r="J15" s="734">
        <f t="shared" si="3"/>
        <v>-0.5</v>
      </c>
      <c r="K15" s="541">
        <v>4</v>
      </c>
      <c r="L15" s="542">
        <f t="shared" si="4"/>
        <v>1</v>
      </c>
      <c r="M15" s="541">
        <v>4</v>
      </c>
      <c r="N15" s="542">
        <f t="shared" si="5"/>
        <v>0</v>
      </c>
      <c r="O15" s="541">
        <v>4</v>
      </c>
      <c r="P15" s="544">
        <f t="shared" si="6"/>
        <v>0</v>
      </c>
    </row>
    <row r="16" spans="1:16" ht="18" customHeight="1" x14ac:dyDescent="0.3">
      <c r="A16" s="540" t="s">
        <v>1088</v>
      </c>
      <c r="B16" s="541">
        <v>5</v>
      </c>
      <c r="C16" s="541">
        <v>6</v>
      </c>
      <c r="D16" s="542">
        <f t="shared" si="0"/>
        <v>0.2</v>
      </c>
      <c r="E16" s="541">
        <v>8</v>
      </c>
      <c r="F16" s="542">
        <f t="shared" si="1"/>
        <v>0.33333333333333331</v>
      </c>
      <c r="G16" s="541">
        <v>7</v>
      </c>
      <c r="H16" s="542">
        <f t="shared" si="2"/>
        <v>-0.125</v>
      </c>
      <c r="I16" s="541">
        <v>3</v>
      </c>
      <c r="J16" s="734">
        <f t="shared" si="3"/>
        <v>-0.5714285714285714</v>
      </c>
      <c r="K16" s="541">
        <v>9</v>
      </c>
      <c r="L16" s="542">
        <f t="shared" si="4"/>
        <v>2</v>
      </c>
      <c r="M16" s="541">
        <v>6</v>
      </c>
      <c r="N16" s="542">
        <f t="shared" si="5"/>
        <v>-0.33333333333333331</v>
      </c>
      <c r="O16" s="541">
        <v>6</v>
      </c>
      <c r="P16" s="544">
        <f t="shared" si="6"/>
        <v>0</v>
      </c>
    </row>
    <row r="17" spans="1:16" ht="18" customHeight="1" x14ac:dyDescent="0.3">
      <c r="A17" s="546" t="s">
        <v>961</v>
      </c>
      <c r="B17" s="541">
        <f>SUM(B10:B16)</f>
        <v>45</v>
      </c>
      <c r="C17" s="541">
        <f>SUM(C10:C16)</f>
        <v>28</v>
      </c>
      <c r="D17" s="542">
        <f t="shared" si="0"/>
        <v>-0.37777777777777777</v>
      </c>
      <c r="E17" s="541">
        <f>SUM(E10:E16)</f>
        <v>19</v>
      </c>
      <c r="F17" s="542">
        <f t="shared" si="1"/>
        <v>-0.32142857142857145</v>
      </c>
      <c r="G17" s="541">
        <f>SUM(G10:G16)</f>
        <v>26</v>
      </c>
      <c r="H17" s="542">
        <f t="shared" si="2"/>
        <v>0.36842105263157893</v>
      </c>
      <c r="I17" s="541">
        <f>SUM(I10:I16)</f>
        <v>17</v>
      </c>
      <c r="J17" s="734">
        <f t="shared" si="3"/>
        <v>-0.34615384615384615</v>
      </c>
      <c r="K17" s="541">
        <f>SUM(K10:K16)</f>
        <v>23</v>
      </c>
      <c r="L17" s="542">
        <f t="shared" si="4"/>
        <v>0.35294117647058826</v>
      </c>
      <c r="M17" s="833">
        <f>SUM(M10:M16)</f>
        <v>16</v>
      </c>
      <c r="N17" s="542">
        <f t="shared" si="5"/>
        <v>-0.30434782608695654</v>
      </c>
      <c r="O17" s="833">
        <f>SUM(O10:O16)</f>
        <v>14</v>
      </c>
      <c r="P17" s="544">
        <f t="shared" si="6"/>
        <v>-0.125</v>
      </c>
    </row>
    <row r="18" spans="1:16" ht="18" customHeight="1" x14ac:dyDescent="0.3">
      <c r="A18" s="536" t="s">
        <v>404</v>
      </c>
      <c r="B18" s="537"/>
      <c r="C18" s="537"/>
      <c r="D18" s="538"/>
      <c r="E18" s="537"/>
      <c r="F18" s="538"/>
      <c r="G18" s="537"/>
      <c r="H18" s="538"/>
      <c r="I18" s="537"/>
      <c r="J18" s="733"/>
      <c r="K18" s="537"/>
      <c r="L18" s="538"/>
      <c r="M18" s="537"/>
      <c r="N18" s="538"/>
      <c r="O18" s="537"/>
      <c r="P18" s="539"/>
    </row>
    <row r="19" spans="1:16" ht="18" customHeight="1" x14ac:dyDescent="0.3">
      <c r="A19" s="540" t="s">
        <v>996</v>
      </c>
      <c r="B19" s="541">
        <v>24</v>
      </c>
      <c r="C19" s="541">
        <v>30</v>
      </c>
      <c r="D19" s="542">
        <f>IF(B19&gt;0,(C19-B19)/B19,(IF(C19=0,"N/A",100%)))</f>
        <v>0.25</v>
      </c>
      <c r="E19" s="541">
        <v>32</v>
      </c>
      <c r="F19" s="542">
        <f>IF(C19&gt;0,(E19-C19)/C19,(IF(E19=0,"N/A",100%)))</f>
        <v>6.6666666666666666E-2</v>
      </c>
      <c r="G19" s="541">
        <v>30</v>
      </c>
      <c r="H19" s="542">
        <f>IF(E19&gt;0,(G19-E19)/E19,(IF(G19=0,"N/A",100%)))</f>
        <v>-6.25E-2</v>
      </c>
      <c r="I19" s="541">
        <v>26</v>
      </c>
      <c r="J19" s="734">
        <f>IF(G19&gt;0,(I19-G19)/G19,(IF(I19=0,"N/A",100%)))</f>
        <v>-0.13333333333333333</v>
      </c>
      <c r="K19" s="541">
        <v>28</v>
      </c>
      <c r="L19" s="542">
        <f>IF(I19&gt;0,(K19-I19)/I19,(IF(K19=0,"N/A",100%)))</f>
        <v>7.6923076923076927E-2</v>
      </c>
      <c r="M19" s="541">
        <v>38</v>
      </c>
      <c r="N19" s="542">
        <f>IF(K19&gt;0,(M19-K19)/K19,(IF(M19=0,"N/A",100%)))</f>
        <v>0.35714285714285715</v>
      </c>
      <c r="O19" s="541">
        <v>33</v>
      </c>
      <c r="P19" s="544">
        <f>IF(M19&gt;0,(O19-M19)/M19,(IF(O19=0,"N/A",100%)))</f>
        <v>-0.13157894736842105</v>
      </c>
    </row>
    <row r="20" spans="1:16" ht="18" customHeight="1" x14ac:dyDescent="0.3">
      <c r="A20" s="540" t="s">
        <v>1089</v>
      </c>
      <c r="B20" s="541">
        <v>6</v>
      </c>
      <c r="C20" s="541">
        <v>0</v>
      </c>
      <c r="D20" s="542">
        <f>IF(B20&gt;0,(C20-B20)/B20,(IF(C20=0,"N/A",100%)))</f>
        <v>-1</v>
      </c>
      <c r="E20" s="541">
        <v>0</v>
      </c>
      <c r="F20" s="542" t="str">
        <f>IF(C20&gt;0,(E20-C20)/C20,(IF(E20=0,"N/A",100%)))</f>
        <v>N/A</v>
      </c>
      <c r="G20" s="541">
        <v>0</v>
      </c>
      <c r="H20" s="542" t="str">
        <f>IF(E20&gt;0,(G20-E20)/E20,(IF(G20=0,"N/A",100%)))</f>
        <v>N/A</v>
      </c>
      <c r="I20" s="541">
        <v>0</v>
      </c>
      <c r="J20" s="734" t="str">
        <f>IF(G20&gt;0,(I20-G20)/G20,(IF(I20=0,"N/A",100%)))</f>
        <v>N/A</v>
      </c>
      <c r="K20" s="541">
        <v>0</v>
      </c>
      <c r="L20" s="542" t="str">
        <f>IF(I20&gt;0,(K20-I20)/I20,(IF(K20=0,"N/A",100%)))</f>
        <v>N/A</v>
      </c>
      <c r="M20" s="541">
        <v>0</v>
      </c>
      <c r="N20" s="542" t="str">
        <f>IF(K20&gt;0,(M20-K20)/K20,(IF(M20=0,"N/A",100%)))</f>
        <v>N/A</v>
      </c>
      <c r="O20" s="541">
        <v>0</v>
      </c>
      <c r="P20" s="544" t="str">
        <f>IF(M20&gt;0,(O20-M20)/M20,(IF(O20=0,"N/A",100%)))</f>
        <v>N/A</v>
      </c>
    </row>
    <row r="21" spans="1:16" ht="18" customHeight="1" x14ac:dyDescent="0.3">
      <c r="A21" s="540" t="s">
        <v>1318</v>
      </c>
      <c r="B21" s="541">
        <v>22</v>
      </c>
      <c r="C21" s="541">
        <v>22</v>
      </c>
      <c r="D21" s="542">
        <f>IF(B21&gt;0,(C21-B21)/B21,(IF(C21=0,"N/A",100%)))</f>
        <v>0</v>
      </c>
      <c r="E21" s="541">
        <v>35</v>
      </c>
      <c r="F21" s="542">
        <f>IF(C21&gt;0,(E21-C21)/C21,(IF(E21=0,"N/A",100%)))</f>
        <v>0.59090909090909094</v>
      </c>
      <c r="G21" s="541">
        <v>27</v>
      </c>
      <c r="H21" s="542">
        <f>IF(E21&gt;0,(G21-E21)/E21,(IF(G21=0,"N/A",100%)))</f>
        <v>-0.22857142857142856</v>
      </c>
      <c r="I21" s="541">
        <v>15</v>
      </c>
      <c r="J21" s="734">
        <f>IF(G21&gt;0,(I21-G21)/G21,(IF(I21=0,"N/A",100%)))</f>
        <v>-0.44444444444444442</v>
      </c>
      <c r="K21" s="541">
        <v>33</v>
      </c>
      <c r="L21" s="542">
        <f>IF(I21&gt;0,(K21-I21)/I21,(IF(K21=0,"N/A",100%)))</f>
        <v>1.2</v>
      </c>
      <c r="M21" s="541">
        <v>23</v>
      </c>
      <c r="N21" s="542">
        <f>IF(K21&gt;0,(M21-K21)/K21,(IF(M21=0,"N/A",100%)))</f>
        <v>-0.30303030303030304</v>
      </c>
      <c r="O21" s="541">
        <v>30</v>
      </c>
      <c r="P21" s="544">
        <f>IF(M21&gt;0,(O21-M21)/M21,(IF(O21=0,"N/A",100%)))</f>
        <v>0.30434782608695654</v>
      </c>
    </row>
    <row r="22" spans="1:16" ht="18" customHeight="1" x14ac:dyDescent="0.3">
      <c r="A22" s="540" t="s">
        <v>1090</v>
      </c>
      <c r="B22" s="541">
        <v>19</v>
      </c>
      <c r="C22" s="541">
        <v>32</v>
      </c>
      <c r="D22" s="542">
        <f>IF(B22&gt;0,(C22-B22)/B22,(IF(C22=0,"N/A",100%)))</f>
        <v>0.68421052631578949</v>
      </c>
      <c r="E22" s="541">
        <v>9</v>
      </c>
      <c r="F22" s="542">
        <f>IF(C22&gt;0,(E22-C22)/C22,(IF(E22=0,"N/A",100%)))</f>
        <v>-0.71875</v>
      </c>
      <c r="G22" s="541">
        <v>9</v>
      </c>
      <c r="H22" s="542">
        <f>IF(E22&gt;0,(G22-E22)/E22,(IF(G22=0,"N/A",100%)))</f>
        <v>0</v>
      </c>
      <c r="I22" s="541">
        <v>17</v>
      </c>
      <c r="J22" s="734">
        <f>IF(G22&gt;0,(I22-G22)/G22,(IF(I22=0,"N/A",100%)))</f>
        <v>0.88888888888888884</v>
      </c>
      <c r="K22" s="541">
        <v>11</v>
      </c>
      <c r="L22" s="542">
        <f>IF(I22&gt;0,(K22-I22)/I22,(IF(K22=0,"N/A",100%)))</f>
        <v>-0.35294117647058826</v>
      </c>
      <c r="M22" s="541">
        <v>9</v>
      </c>
      <c r="N22" s="542">
        <f>IF(K22&gt;0,(M22-K22)/K22,(IF(M22=0,"N/A",100%)))</f>
        <v>-0.18181818181818182</v>
      </c>
      <c r="O22" s="541">
        <v>9</v>
      </c>
      <c r="P22" s="544">
        <f>IF(M22&gt;0,(O22-M22)/M22,(IF(O22=0,"N/A",100%)))</f>
        <v>0</v>
      </c>
    </row>
    <row r="23" spans="1:16" ht="18" customHeight="1" x14ac:dyDescent="0.3">
      <c r="A23" s="546" t="s">
        <v>961</v>
      </c>
      <c r="B23" s="541">
        <f>SUM(B19:B22)</f>
        <v>71</v>
      </c>
      <c r="C23" s="541">
        <f>SUM(C19:C22)</f>
        <v>84</v>
      </c>
      <c r="D23" s="542">
        <f>IF(B23&gt;0,(C23-B23)/B23,(IF(C23=0,"N/A",100%)))</f>
        <v>0.18309859154929578</v>
      </c>
      <c r="E23" s="541">
        <f>SUM(E19:E22)</f>
        <v>76</v>
      </c>
      <c r="F23" s="542">
        <f>IF(C23&gt;0,(E23-C23)/C23,(IF(E23=0,"N/A",100%)))</f>
        <v>-9.5238095238095233E-2</v>
      </c>
      <c r="G23" s="541">
        <f>SUM(G19:G22)</f>
        <v>66</v>
      </c>
      <c r="H23" s="542">
        <f>IF(E23&gt;0,(G23-E23)/E23,(IF(G23=0,"N/A",100%)))</f>
        <v>-0.13157894736842105</v>
      </c>
      <c r="I23" s="541">
        <f>SUM(I19:I22)</f>
        <v>58</v>
      </c>
      <c r="J23" s="734">
        <f>IF(G23&gt;0,(I23-G23)/G23,(IF(I23=0,"N/A",100%)))</f>
        <v>-0.12121212121212122</v>
      </c>
      <c r="K23" s="541">
        <f>SUM(K19:K22)</f>
        <v>72</v>
      </c>
      <c r="L23" s="542">
        <f>IF(I23&gt;0,(K23-I23)/I23,(IF(K23=0,"N/A",100%)))</f>
        <v>0.2413793103448276</v>
      </c>
      <c r="M23" s="833">
        <f>SUM(M19:M22)</f>
        <v>70</v>
      </c>
      <c r="N23" s="542">
        <f>IF(K23&gt;0,(M23-K23)/K23,(IF(M23=0,"N/A",100%)))</f>
        <v>-2.7777777777777776E-2</v>
      </c>
      <c r="O23" s="833">
        <f>SUM(O19:O22)</f>
        <v>72</v>
      </c>
      <c r="P23" s="544">
        <f>IF(M23&gt;0,(O23-M23)/M23,(IF(O23=0,"N/A",100%)))</f>
        <v>2.8571428571428571E-2</v>
      </c>
    </row>
    <row r="24" spans="1:16" ht="18" customHeight="1" x14ac:dyDescent="0.3">
      <c r="A24" s="536" t="s">
        <v>405</v>
      </c>
      <c r="B24" s="537"/>
      <c r="C24" s="537"/>
      <c r="D24" s="538"/>
      <c r="E24" s="537"/>
      <c r="F24" s="538"/>
      <c r="G24" s="537"/>
      <c r="H24" s="538"/>
      <c r="I24" s="537"/>
      <c r="J24" s="733"/>
      <c r="K24" s="537"/>
      <c r="L24" s="538"/>
      <c r="M24" s="537"/>
      <c r="N24" s="538"/>
      <c r="O24" s="537"/>
      <c r="P24" s="539"/>
    </row>
    <row r="25" spans="1:16" ht="18" customHeight="1" x14ac:dyDescent="0.3">
      <c r="A25" s="540" t="s">
        <v>1058</v>
      </c>
      <c r="B25" s="541">
        <v>3</v>
      </c>
      <c r="C25" s="541">
        <v>10</v>
      </c>
      <c r="D25" s="542">
        <f>IF(B25&gt;0,(C25-B25)/B25,(IF(C25=0,"N/A",100%)))</f>
        <v>2.3333333333333335</v>
      </c>
      <c r="E25" s="541">
        <v>8</v>
      </c>
      <c r="F25" s="542">
        <f>IF(C25&gt;0,(E25-C25)/C25,(IF(E25=0,"N/A",100%)))</f>
        <v>-0.2</v>
      </c>
      <c r="G25" s="541">
        <v>11</v>
      </c>
      <c r="H25" s="542">
        <f>IF(E25&gt;0,(G25-E25)/E25,(IF(G25=0,"N/A",100%)))</f>
        <v>0.375</v>
      </c>
      <c r="I25" s="541">
        <v>8</v>
      </c>
      <c r="J25" s="734">
        <f>IF(G25&gt;0,(I25-G25)/G25,(IF(I25=0,"N/A",100%)))</f>
        <v>-0.27272727272727271</v>
      </c>
      <c r="K25" s="541">
        <v>12</v>
      </c>
      <c r="L25" s="542">
        <f>IF(I25&gt;0,(K25-I25)/I25,(IF(K25=0,"N/A",100%)))</f>
        <v>0.5</v>
      </c>
      <c r="M25" s="541">
        <v>8</v>
      </c>
      <c r="N25" s="542">
        <f>IF(K25&gt;0,(M25-K25)/K25,(IF(M25=0,"N/A",100%)))</f>
        <v>-0.33333333333333331</v>
      </c>
      <c r="O25" s="541">
        <v>8</v>
      </c>
      <c r="P25" s="544">
        <f>IF(M25&gt;0,(O25-M25)/M25,(IF(O25=0,"N/A",100%)))</f>
        <v>0</v>
      </c>
    </row>
    <row r="26" spans="1:16" ht="18" customHeight="1" x14ac:dyDescent="0.3">
      <c r="A26" s="545" t="s">
        <v>1059</v>
      </c>
      <c r="B26" s="541">
        <v>0</v>
      </c>
      <c r="C26" s="541">
        <v>0</v>
      </c>
      <c r="D26" s="542" t="str">
        <f>IF(B26&gt;0,(C26-B26)/B26,(IF(C26=0,"N/A",100%)))</f>
        <v>N/A</v>
      </c>
      <c r="E26" s="541">
        <v>0</v>
      </c>
      <c r="F26" s="542" t="str">
        <f>IF(C26&gt;0,(E26-C26)/C26,(IF(E26=0,"N/A",100%)))</f>
        <v>N/A</v>
      </c>
      <c r="G26" s="541">
        <v>1</v>
      </c>
      <c r="H26" s="542">
        <f>IF(E26&gt;0,(G26-E26)/E26,(IF(G26=0,"N/A",100%)))</f>
        <v>1</v>
      </c>
      <c r="I26" s="541">
        <v>0</v>
      </c>
      <c r="J26" s="734">
        <f>IF(G26&gt;0,(I26-G26)/G26,(IF(I26=0,"N/A",100%)))</f>
        <v>-1</v>
      </c>
      <c r="K26" s="541">
        <v>0</v>
      </c>
      <c r="L26" s="542" t="str">
        <f>IF(I26&gt;0,(K26-I26)/I26,(IF(K26=0,"N/A",100%)))</f>
        <v>N/A</v>
      </c>
      <c r="M26" s="541">
        <v>1</v>
      </c>
      <c r="N26" s="542">
        <f>IF(K26&gt;0,(M26-K26)/K26,(IF(M26=0,"N/A",100%)))</f>
        <v>1</v>
      </c>
      <c r="O26" s="541">
        <v>1</v>
      </c>
      <c r="P26" s="544">
        <f>IF(M26&gt;0,(O26-M26)/M26,(IF(O26=0,"N/A",100%)))</f>
        <v>0</v>
      </c>
    </row>
    <row r="27" spans="1:16" ht="18" customHeight="1" x14ac:dyDescent="0.3">
      <c r="A27" s="540" t="s">
        <v>1060</v>
      </c>
      <c r="B27" s="541">
        <v>1</v>
      </c>
      <c r="C27" s="541">
        <v>2</v>
      </c>
      <c r="D27" s="542">
        <f>IF(B27&gt;0,(C27-B27)/B27,(IF(C27=0,"N/A",100%)))</f>
        <v>1</v>
      </c>
      <c r="E27" s="541">
        <v>0</v>
      </c>
      <c r="F27" s="542">
        <f>IF(C27&gt;0,(E27-C27)/C27,(IF(E27=0,"N/A",100%)))</f>
        <v>-1</v>
      </c>
      <c r="G27" s="541">
        <v>1</v>
      </c>
      <c r="H27" s="542">
        <f>IF(E27&gt;0,(G27-E27)/E27,(IF(G27=0,"N/A",100%)))</f>
        <v>1</v>
      </c>
      <c r="I27" s="541">
        <v>3</v>
      </c>
      <c r="J27" s="734">
        <f>IF(G27&gt;0,(I27-G27)/G27,(IF(I27=0,"N/A",100%)))</f>
        <v>2</v>
      </c>
      <c r="K27" s="541">
        <v>4</v>
      </c>
      <c r="L27" s="542">
        <f>IF(I27&gt;0,(K27-I27)/I27,(IF(K27=0,"N/A",100%)))</f>
        <v>0.33333333333333331</v>
      </c>
      <c r="M27" s="541">
        <v>2</v>
      </c>
      <c r="N27" s="542">
        <f>IF(K27&gt;0,(M27-K27)/K27,(IF(M27=0,"N/A",100%)))</f>
        <v>-0.5</v>
      </c>
      <c r="O27" s="541">
        <v>2</v>
      </c>
      <c r="P27" s="544">
        <f>IF(M27&gt;0,(O27-M27)/M27,(IF(O27=0,"N/A",100%)))</f>
        <v>0</v>
      </c>
    </row>
    <row r="28" spans="1:16" ht="18" customHeight="1" x14ac:dyDescent="0.3">
      <c r="A28" s="546" t="s">
        <v>961</v>
      </c>
      <c r="B28" s="541">
        <f>SUM(B25:B27)</f>
        <v>4</v>
      </c>
      <c r="C28" s="541">
        <f>SUM(C25:C27)</f>
        <v>12</v>
      </c>
      <c r="D28" s="542">
        <f>IF(B28&gt;0,(C28-B28)/B28,(IF(C28=0,"N/A",100%)))</f>
        <v>2</v>
      </c>
      <c r="E28" s="541">
        <f>SUM(E25:E27)</f>
        <v>8</v>
      </c>
      <c r="F28" s="542">
        <f>IF(C28&gt;0,(E28-C28)/C28,(IF(E28=0,"N/A",100%)))</f>
        <v>-0.33333333333333331</v>
      </c>
      <c r="G28" s="541">
        <f>SUM(G25:G27)</f>
        <v>13</v>
      </c>
      <c r="H28" s="542">
        <f>IF(E28&gt;0,(G28-E28)/E28,(IF(G28=0,"N/A",100%)))</f>
        <v>0.625</v>
      </c>
      <c r="I28" s="541">
        <f>SUM(I25:I27)</f>
        <v>11</v>
      </c>
      <c r="J28" s="734">
        <f>IF(G28&gt;0,(I28-G28)/G28,(IF(I28=0,"N/A",100%)))</f>
        <v>-0.15384615384615385</v>
      </c>
      <c r="K28" s="541">
        <f>SUM(K25:K27)</f>
        <v>16</v>
      </c>
      <c r="L28" s="542">
        <f>IF(I28&gt;0,(K28-I28)/I28,(IF(K28=0,"N/A",100%)))</f>
        <v>0.45454545454545453</v>
      </c>
      <c r="M28" s="833">
        <f>SUM(M25:M27)</f>
        <v>11</v>
      </c>
      <c r="N28" s="542">
        <f>IF(K28&gt;0,(M28-K28)/K28,(IF(M28=0,"N/A",100%)))</f>
        <v>-0.3125</v>
      </c>
      <c r="O28" s="833">
        <f>SUM(O25:O27)</f>
        <v>11</v>
      </c>
      <c r="P28" s="544">
        <f>IF(M28&gt;0,(O28-M28)/M28,(IF(O28=0,"N/A",100%)))</f>
        <v>0</v>
      </c>
    </row>
    <row r="29" spans="1:16" ht="18" customHeight="1" thickBot="1" x14ac:dyDescent="0.35">
      <c r="A29" s="857" t="s">
        <v>406</v>
      </c>
      <c r="B29" s="670">
        <f>+B28+B23+B17+B8</f>
        <v>134</v>
      </c>
      <c r="C29" s="670">
        <f>+C28+C23+C17+C8</f>
        <v>146</v>
      </c>
      <c r="D29" s="1358">
        <f>IF(B29&gt;0,(C29-B29)/B29,(IF(C29=0,"N/A",100%)))</f>
        <v>8.9552238805970144E-2</v>
      </c>
      <c r="E29" s="670">
        <f>+E28+E23+E17+E8</f>
        <v>126</v>
      </c>
      <c r="F29" s="1358">
        <f>IF(C29&gt;0,(E29-C29)/C29,(IF(E29=0,"N/A",100%)))</f>
        <v>-0.13698630136986301</v>
      </c>
      <c r="G29" s="670">
        <f>+G28+G23+G17+G8</f>
        <v>143</v>
      </c>
      <c r="H29" s="1358">
        <f>IF(E29&gt;0,(G29-E29)/E29,(IF(G29=0,"N/A",100%)))</f>
        <v>0.13492063492063491</v>
      </c>
      <c r="I29" s="670">
        <f>+I28+I23+I17+I8</f>
        <v>114</v>
      </c>
      <c r="J29" s="858">
        <f>IF(G29&gt;0,(I29-G29)/G29,(IF(I29=0,"N/A",100%)))</f>
        <v>-0.20279720279720279</v>
      </c>
      <c r="K29" s="670">
        <f>+K28+K23+K17+K8</f>
        <v>144</v>
      </c>
      <c r="L29" s="1358">
        <f>IF(I29&gt;0,(K29-I29)/I29,(IF(K29=0,"N/A",100%)))</f>
        <v>0.26315789473684209</v>
      </c>
      <c r="M29" s="670">
        <f>+M28+M23+M17+M8</f>
        <v>125</v>
      </c>
      <c r="N29" s="556">
        <f>IF(K29&gt;0,(M29-K29)/K29,(IF(M29=0,"N/A",100%)))</f>
        <v>-0.13194444444444445</v>
      </c>
      <c r="O29" s="670">
        <f>+O28+O23+O17+O8</f>
        <v>121</v>
      </c>
      <c r="P29" s="859">
        <f>IF(M29&gt;0,(O29-M29)/M29,(IF(O29=0,"N/A",100%)))</f>
        <v>-3.2000000000000001E-2</v>
      </c>
    </row>
    <row r="30" spans="1:16" ht="20.25" customHeight="1" thickTop="1" thickBot="1" x14ac:dyDescent="0.35">
      <c r="A30" s="1736" t="s">
        <v>407</v>
      </c>
      <c r="B30" s="1737"/>
      <c r="C30" s="1737"/>
      <c r="D30" s="1737"/>
      <c r="E30" s="1737"/>
      <c r="F30" s="1737"/>
      <c r="G30" s="1737"/>
      <c r="H30" s="1737"/>
      <c r="I30" s="1737"/>
      <c r="J30" s="1737"/>
      <c r="K30" s="1737"/>
      <c r="L30" s="1737"/>
      <c r="M30" s="1737"/>
      <c r="N30" s="1737"/>
      <c r="O30" s="1737"/>
      <c r="P30" s="1738"/>
    </row>
    <row r="31" spans="1:16" ht="20.25" customHeight="1" thickTop="1" x14ac:dyDescent="0.3">
      <c r="A31" s="800" t="s">
        <v>401</v>
      </c>
      <c r="B31" s="673">
        <v>2002</v>
      </c>
      <c r="C31" s="673">
        <f>+B31+1</f>
        <v>2003</v>
      </c>
      <c r="D31" s="801" t="s">
        <v>1046</v>
      </c>
      <c r="E31" s="673">
        <v>2008</v>
      </c>
      <c r="F31" s="801" t="s">
        <v>1046</v>
      </c>
      <c r="G31" s="673">
        <f>E31+1</f>
        <v>2009</v>
      </c>
      <c r="H31" s="801" t="s">
        <v>1046</v>
      </c>
      <c r="I31" s="673">
        <f>G31+1</f>
        <v>2010</v>
      </c>
      <c r="J31" s="802" t="s">
        <v>1046</v>
      </c>
      <c r="K31" s="673">
        <f>I31+1</f>
        <v>2011</v>
      </c>
      <c r="L31" s="801" t="s">
        <v>1046</v>
      </c>
      <c r="M31" s="673">
        <f>K31+1</f>
        <v>2012</v>
      </c>
      <c r="N31" s="952" t="s">
        <v>1046</v>
      </c>
      <c r="O31" s="673">
        <f>M31+1</f>
        <v>2013</v>
      </c>
      <c r="P31" s="803" t="s">
        <v>1046</v>
      </c>
    </row>
    <row r="32" spans="1:16" ht="18" customHeight="1" x14ac:dyDescent="0.3">
      <c r="A32" s="536" t="s">
        <v>408</v>
      </c>
      <c r="B32" s="537"/>
      <c r="C32" s="537"/>
      <c r="D32" s="538"/>
      <c r="E32" s="537"/>
      <c r="F32" s="538"/>
      <c r="G32" s="537"/>
      <c r="H32" s="538"/>
      <c r="I32" s="537"/>
      <c r="J32" s="733"/>
      <c r="K32" s="537"/>
      <c r="L32" s="538"/>
      <c r="M32" s="537"/>
      <c r="N32" s="538"/>
      <c r="O32" s="537"/>
      <c r="P32" s="539"/>
    </row>
    <row r="33" spans="1:16" ht="18" customHeight="1" x14ac:dyDescent="0.3">
      <c r="A33" s="545" t="s">
        <v>1074</v>
      </c>
      <c r="B33" s="541">
        <v>1</v>
      </c>
      <c r="C33" s="541">
        <v>0</v>
      </c>
      <c r="D33" s="542">
        <f>IF(B33&gt;0,(C33-B33)/B33,(IF(C33=0,"N/A",100%)))</f>
        <v>-1</v>
      </c>
      <c r="E33" s="541">
        <v>0</v>
      </c>
      <c r="F33" s="542" t="str">
        <f>IF(C33&gt;0,(E33-C33)/C33,(IF(E33=0,"N/A",100%)))</f>
        <v>N/A</v>
      </c>
      <c r="G33" s="541">
        <v>0</v>
      </c>
      <c r="H33" s="542" t="str">
        <f>IF(E33&gt;0,(G33-E33)/E33,(IF(G33=0,"N/A",100%)))</f>
        <v>N/A</v>
      </c>
      <c r="I33" s="541">
        <v>0</v>
      </c>
      <c r="J33" s="734" t="str">
        <f>IF(G33&gt;0,(I33-G33)/G33,(IF(I33=0,"N/A",100%)))</f>
        <v>N/A</v>
      </c>
      <c r="K33" s="541">
        <v>0</v>
      </c>
      <c r="L33" s="542" t="str">
        <f>IF(I33&gt;0,(K33-I33)/I33,(IF(K33=0,"N/A",100%)))</f>
        <v>N/A</v>
      </c>
      <c r="M33" s="541">
        <v>0</v>
      </c>
      <c r="N33" s="542" t="str">
        <f>IF(K33&gt;0,(M33-K33)/K33,(IF(M33=0,"N/A",100%)))</f>
        <v>N/A</v>
      </c>
      <c r="O33" s="541">
        <v>0</v>
      </c>
      <c r="P33" s="544" t="str">
        <f>IF(M33&gt;0,(O33-M33)/M33,(IF(O33=0,"N/A",100%)))</f>
        <v>N/A</v>
      </c>
    </row>
    <row r="34" spans="1:16" ht="18" customHeight="1" x14ac:dyDescent="0.3">
      <c r="A34" s="540" t="s">
        <v>1075</v>
      </c>
      <c r="B34" s="541">
        <v>33</v>
      </c>
      <c r="C34" s="541">
        <v>20</v>
      </c>
      <c r="D34" s="542">
        <f>IF(B34&gt;0,(C34-B34)/B34,(IF(C34=0,"N/A",100%)))</f>
        <v>-0.39393939393939392</v>
      </c>
      <c r="E34" s="541">
        <v>8</v>
      </c>
      <c r="F34" s="542">
        <f>IF(C34&gt;0,(E34-C34)/C34,(IF(E34=0,"N/A",100%)))</f>
        <v>-0.6</v>
      </c>
      <c r="G34" s="541">
        <v>11</v>
      </c>
      <c r="H34" s="542">
        <f>IF(E34&gt;0,(G34-E34)/E34,(IF(G34=0,"N/A",100%)))</f>
        <v>0.375</v>
      </c>
      <c r="I34" s="541">
        <v>11</v>
      </c>
      <c r="J34" s="734">
        <f>IF(G34&gt;0,(I34-G34)/G34,(IF(I34=0,"N/A",100%)))</f>
        <v>0</v>
      </c>
      <c r="K34" s="541">
        <v>19</v>
      </c>
      <c r="L34" s="542">
        <f>IF(I34&gt;0,(K34-I34)/I34,(IF(K34=0,"N/A",100%)))</f>
        <v>0.72727272727272729</v>
      </c>
      <c r="M34" s="833">
        <v>14</v>
      </c>
      <c r="N34" s="542">
        <f>IF(K34&gt;0,(M34-K34)/K34,(IF(M34=0,"N/A",100%)))</f>
        <v>-0.26315789473684209</v>
      </c>
      <c r="O34" s="833">
        <v>11</v>
      </c>
      <c r="P34" s="544">
        <f>IF(M34&gt;0,(O34-M34)/M34,(IF(O34=0,"N/A",100%)))</f>
        <v>-0.21428571428571427</v>
      </c>
    </row>
    <row r="35" spans="1:16" ht="18" customHeight="1" x14ac:dyDescent="0.3">
      <c r="A35" s="546" t="s">
        <v>961</v>
      </c>
      <c r="B35" s="541">
        <f>SUM(B33:B34)</f>
        <v>34</v>
      </c>
      <c r="C35" s="541">
        <f>SUM(C33:C34)</f>
        <v>20</v>
      </c>
      <c r="D35" s="542">
        <f>IF(B35&gt;0,(C35-B35)/B35,(IF(C35=0,"N/A",100%)))</f>
        <v>-0.41176470588235292</v>
      </c>
      <c r="E35" s="541">
        <f>SUM(E33:E34)</f>
        <v>8</v>
      </c>
      <c r="F35" s="542">
        <f>IF(C35&gt;0,(E35-C35)/C35,(IF(E35=0,"N/A",100%)))</f>
        <v>-0.6</v>
      </c>
      <c r="G35" s="541">
        <f>SUM(G33:G34)</f>
        <v>11</v>
      </c>
      <c r="H35" s="542">
        <f>IF(E35&gt;0,(G35-E35)/E35,(IF(G35=0,"N/A",100%)))</f>
        <v>0.375</v>
      </c>
      <c r="I35" s="541">
        <f>SUM(I33:I34)</f>
        <v>11</v>
      </c>
      <c r="J35" s="734">
        <f>IF(G35&gt;0,(I35-G35)/G35,(IF(I35=0,"N/A",100%)))</f>
        <v>0</v>
      </c>
      <c r="K35" s="541">
        <f>SUM(K33:K34)</f>
        <v>19</v>
      </c>
      <c r="L35" s="542">
        <f>IF(I35&gt;0,(K35-I35)/I35,(IF(K35=0,"N/A",100%)))</f>
        <v>0.72727272727272729</v>
      </c>
      <c r="M35" s="541">
        <f>SUM(M33:M34)</f>
        <v>14</v>
      </c>
      <c r="N35" s="542">
        <f>IF(K35&gt;0,(M35-K35)/K35,(IF(M35=0,"N/A",100%)))</f>
        <v>-0.26315789473684209</v>
      </c>
      <c r="O35" s="541">
        <f>SUM(O33:O34)</f>
        <v>11</v>
      </c>
      <c r="P35" s="544">
        <f>IF(M35&gt;0,(O35-M35)/M35,(IF(O35=0,"N/A",100%)))</f>
        <v>-0.21428571428571427</v>
      </c>
    </row>
    <row r="36" spans="1:16" ht="18" customHeight="1" x14ac:dyDescent="0.3">
      <c r="A36" s="536" t="s">
        <v>409</v>
      </c>
      <c r="B36" s="537"/>
      <c r="C36" s="537"/>
      <c r="D36" s="538"/>
      <c r="E36" s="537"/>
      <c r="F36" s="538"/>
      <c r="G36" s="537"/>
      <c r="H36" s="538"/>
      <c r="I36" s="537"/>
      <c r="J36" s="733"/>
      <c r="K36" s="537"/>
      <c r="L36" s="538"/>
      <c r="M36" s="537"/>
      <c r="N36" s="538"/>
      <c r="O36" s="537"/>
      <c r="P36" s="539"/>
    </row>
    <row r="37" spans="1:16" ht="18" customHeight="1" x14ac:dyDescent="0.3">
      <c r="A37" s="540" t="s">
        <v>1079</v>
      </c>
      <c r="B37" s="541">
        <v>6</v>
      </c>
      <c r="C37" s="541">
        <v>12</v>
      </c>
      <c r="D37" s="542">
        <f>IF(B37&gt;0,(C37-B37)/B37,(IF(C37=0,"N/A",100%)))</f>
        <v>1</v>
      </c>
      <c r="E37" s="541">
        <v>6</v>
      </c>
      <c r="F37" s="542">
        <f>IF(C37&gt;0,(E37-C37)/C37,(IF(E37=0,"N/A",100%)))</f>
        <v>-0.5</v>
      </c>
      <c r="G37" s="541">
        <v>4</v>
      </c>
      <c r="H37" s="542">
        <f>IF(E37&gt;0,(G37-E37)/E37,(IF(G37=0,"N/A",100%)))</f>
        <v>-0.33333333333333331</v>
      </c>
      <c r="I37" s="541">
        <v>5</v>
      </c>
      <c r="J37" s="734">
        <f>IF(G37&gt;0,(I37-G37)/G37,(IF(I37=0,"N/A",100%)))</f>
        <v>0.25</v>
      </c>
      <c r="K37" s="541">
        <v>6</v>
      </c>
      <c r="L37" s="542">
        <f>IF(I37&gt;0,(K37-I37)/I37,(IF(K37=0,"N/A",100%)))</f>
        <v>0.2</v>
      </c>
      <c r="M37" s="541">
        <v>6</v>
      </c>
      <c r="N37" s="542">
        <f>IF(K37&gt;0,(M37-K37)/K37,(IF(M37=0,"N/A",100%)))</f>
        <v>0</v>
      </c>
      <c r="O37" s="541">
        <v>6</v>
      </c>
      <c r="P37" s="544">
        <f>IF(M37&gt;0,(O37-M37)/M37,(IF(O37=0,"N/A",100%)))</f>
        <v>0</v>
      </c>
    </row>
    <row r="38" spans="1:16" ht="18" customHeight="1" x14ac:dyDescent="0.3">
      <c r="A38" s="540" t="s">
        <v>717</v>
      </c>
      <c r="B38" s="541">
        <v>3</v>
      </c>
      <c r="C38" s="541">
        <v>3</v>
      </c>
      <c r="D38" s="542">
        <f>IF(B38&gt;0,(C38-B38)/B38,(IF(C38=0,"N/A",100%)))</f>
        <v>0</v>
      </c>
      <c r="E38" s="541">
        <v>0</v>
      </c>
      <c r="F38" s="542">
        <f>IF(C38&gt;0,(E38-C38)/C38,(IF(E38=0,"N/A",100%)))</f>
        <v>-1</v>
      </c>
      <c r="G38" s="541">
        <v>0</v>
      </c>
      <c r="H38" s="542" t="str">
        <f>IF(E38&gt;0,(G38-E38)/E38,(IF(G38=0,"N/A",100%)))</f>
        <v>N/A</v>
      </c>
      <c r="I38" s="541">
        <v>0</v>
      </c>
      <c r="J38" s="734" t="str">
        <f>IF(G38&gt;0,(I38-G38)/G38,(IF(I38=0,"N/A",100%)))</f>
        <v>N/A</v>
      </c>
      <c r="K38" s="541">
        <v>0</v>
      </c>
      <c r="L38" s="542" t="str">
        <f>IF(I38&gt;0,(K38-I38)/I38,(IF(K38=0,"N/A",100%)))</f>
        <v>N/A</v>
      </c>
      <c r="M38" s="541">
        <v>0</v>
      </c>
      <c r="N38" s="542" t="str">
        <f>IF(K38&gt;0,(M38-K38)/K38,(IF(M38=0,"N/A",100%)))</f>
        <v>N/A</v>
      </c>
      <c r="O38" s="541">
        <v>0</v>
      </c>
      <c r="P38" s="544" t="str">
        <f>IF(M38&gt;0,(O38-M38)/M38,(IF(O38=0,"N/A",100%)))</f>
        <v>N/A</v>
      </c>
    </row>
    <row r="39" spans="1:16" ht="18" customHeight="1" x14ac:dyDescent="0.3">
      <c r="A39" s="540" t="s">
        <v>817</v>
      </c>
      <c r="B39" s="541">
        <v>0</v>
      </c>
      <c r="C39" s="541">
        <v>0</v>
      </c>
      <c r="D39" s="542" t="str">
        <f>IF(B39&gt;0,(C39-B39)/B39,(IF(C39=0,"N/A",100%)))</f>
        <v>N/A</v>
      </c>
      <c r="E39" s="541">
        <v>3</v>
      </c>
      <c r="F39" s="542">
        <f>IF(C39&gt;0,(E39-C39)/C39,(IF(E39=0,"N/A",100%)))</f>
        <v>1</v>
      </c>
      <c r="G39" s="541">
        <v>1</v>
      </c>
      <c r="H39" s="542">
        <f>IF(E39&gt;0,(G39-E39)/E39,(IF(G39=0,"N/A",100%)))</f>
        <v>-0.66666666666666663</v>
      </c>
      <c r="I39" s="541">
        <v>5</v>
      </c>
      <c r="J39" s="734">
        <f>IF(G39&gt;0,(I39-G39)/G39,(IF(I39=0,"N/A",100%)))</f>
        <v>4</v>
      </c>
      <c r="K39" s="541">
        <v>4</v>
      </c>
      <c r="L39" s="542">
        <f>IF(I39&gt;0,(K39-I39)/I39,(IF(K39=0,"N/A",100%)))</f>
        <v>-0.2</v>
      </c>
      <c r="M39" s="541">
        <v>4</v>
      </c>
      <c r="N39" s="542">
        <f>IF(K39&gt;0,(M39-K39)/K39,(IF(M39=0,"N/A",100%)))</f>
        <v>0</v>
      </c>
      <c r="O39" s="541">
        <v>6</v>
      </c>
      <c r="P39" s="544">
        <f>IF(M39&gt;0,(O39-M39)/M39,(IF(O39=0,"N/A",100%)))</f>
        <v>0.5</v>
      </c>
    </row>
    <row r="40" spans="1:16" ht="18" customHeight="1" x14ac:dyDescent="0.3">
      <c r="A40" s="540" t="s">
        <v>1080</v>
      </c>
      <c r="B40" s="541">
        <v>1</v>
      </c>
      <c r="C40" s="541">
        <v>5</v>
      </c>
      <c r="D40" s="542">
        <f>IF(B40&gt;0,(C40-B40)/B40,(IF(C40=0,"N/A",100%)))</f>
        <v>4</v>
      </c>
      <c r="E40" s="541">
        <v>1</v>
      </c>
      <c r="F40" s="542">
        <f>IF(C40&gt;0,(E40-C40)/C40,(IF(E40=0,"N/A",100%)))</f>
        <v>-0.8</v>
      </c>
      <c r="G40" s="541">
        <v>2</v>
      </c>
      <c r="H40" s="542">
        <f>IF(E40&gt;0,(G40-E40)/E40,(IF(G40=0,"N/A",100%)))</f>
        <v>1</v>
      </c>
      <c r="I40" s="541">
        <v>1</v>
      </c>
      <c r="J40" s="734">
        <f>IF(G40&gt;0,(I40-G40)/G40,(IF(I40=0,"N/A",100%)))</f>
        <v>-0.5</v>
      </c>
      <c r="K40" s="541">
        <v>2</v>
      </c>
      <c r="L40" s="542">
        <f>IF(I40&gt;0,(K40-I40)/I40,(IF(K40=0,"N/A",100%)))</f>
        <v>1</v>
      </c>
      <c r="M40" s="541">
        <v>2</v>
      </c>
      <c r="N40" s="542">
        <f>IF(K40&gt;0,(M40-K40)/K40,(IF(M40=0,"N/A",100%)))</f>
        <v>0</v>
      </c>
      <c r="O40" s="541">
        <v>3</v>
      </c>
      <c r="P40" s="544">
        <f>IF(M40&gt;0,(O40-M40)/M40,(IF(O40=0,"N/A",100%)))</f>
        <v>0.5</v>
      </c>
    </row>
    <row r="41" spans="1:16" ht="18" customHeight="1" x14ac:dyDescent="0.3">
      <c r="A41" s="546" t="s">
        <v>961</v>
      </c>
      <c r="B41" s="541">
        <f>SUM(B37:B40)</f>
        <v>10</v>
      </c>
      <c r="C41" s="541">
        <f>SUM(C37:C40)</f>
        <v>20</v>
      </c>
      <c r="D41" s="542">
        <f>IF(B41&gt;0,(C41-B41)/B41,(IF(C41=0,"N/A",100%)))</f>
        <v>1</v>
      </c>
      <c r="E41" s="541">
        <f>SUM(E37:E40)</f>
        <v>10</v>
      </c>
      <c r="F41" s="542">
        <f>IF(C41&gt;0,(E41-C41)/C41,(IF(E41=0,"N/A",100%)))</f>
        <v>-0.5</v>
      </c>
      <c r="G41" s="541">
        <f>SUM(G37:G40)</f>
        <v>7</v>
      </c>
      <c r="H41" s="542">
        <f>IF(E41&gt;0,(G41-E41)/E41,(IF(G41=0,"N/A",100%)))</f>
        <v>-0.3</v>
      </c>
      <c r="I41" s="541">
        <f>SUM(I37:I40)</f>
        <v>11</v>
      </c>
      <c r="J41" s="734">
        <f>IF(G41&gt;0,(I41-G41)/G41,(IF(I41=0,"N/A",100%)))</f>
        <v>0.5714285714285714</v>
      </c>
      <c r="K41" s="541">
        <f>SUM(K37:K40)</f>
        <v>12</v>
      </c>
      <c r="L41" s="542">
        <f>IF(I41&gt;0,(K41-I41)/I41,(IF(K41=0,"N/A",100%)))</f>
        <v>9.0909090909090912E-2</v>
      </c>
      <c r="M41" s="833">
        <f>SUM(M37:M40)</f>
        <v>12</v>
      </c>
      <c r="N41" s="542">
        <f>IF(K41&gt;0,(M41-K41)/K41,(IF(M41=0,"N/A",100%)))</f>
        <v>0</v>
      </c>
      <c r="O41" s="833">
        <f>SUM(O37:O40)</f>
        <v>15</v>
      </c>
      <c r="P41" s="544">
        <f>IF(M41&gt;0,(O41-M41)/M41,(IF(O41=0,"N/A",100%)))</f>
        <v>0.25</v>
      </c>
    </row>
    <row r="42" spans="1:16" ht="18" customHeight="1" x14ac:dyDescent="0.3">
      <c r="A42" s="536" t="s">
        <v>410</v>
      </c>
      <c r="B42" s="537"/>
      <c r="C42" s="537"/>
      <c r="D42" s="538"/>
      <c r="E42" s="537"/>
      <c r="F42" s="538"/>
      <c r="G42" s="537"/>
      <c r="H42" s="538"/>
      <c r="I42" s="537"/>
      <c r="J42" s="733"/>
      <c r="K42" s="537"/>
      <c r="L42" s="538"/>
      <c r="M42" s="537"/>
      <c r="N42" s="538"/>
      <c r="O42" s="537"/>
      <c r="P42" s="539"/>
    </row>
    <row r="43" spans="1:16" ht="18" customHeight="1" x14ac:dyDescent="0.3">
      <c r="A43" s="540" t="s">
        <v>1076</v>
      </c>
      <c r="B43" s="541">
        <v>15</v>
      </c>
      <c r="C43" s="541">
        <v>28</v>
      </c>
      <c r="D43" s="542">
        <f>IF(B43&gt;0,(C43-B43)/B43,(IF(C43=0,"N/A",100%)))</f>
        <v>0.8666666666666667</v>
      </c>
      <c r="E43" s="541">
        <v>15</v>
      </c>
      <c r="F43" s="542">
        <f>IF(C43&gt;0,(E43-C43)/C43,(IF(E43=0,"N/A",100%)))</f>
        <v>-0.4642857142857143</v>
      </c>
      <c r="G43" s="541">
        <v>17</v>
      </c>
      <c r="H43" s="542">
        <f>IF(E43&gt;0,(G43-E43)/E43,(IF(G43=0,"N/A",100%)))</f>
        <v>0.13333333333333333</v>
      </c>
      <c r="I43" s="541">
        <v>23</v>
      </c>
      <c r="J43" s="734">
        <f>IF(G43&gt;0,(I43-G43)/G43,(IF(I43=0,"N/A",100%)))</f>
        <v>0.35294117647058826</v>
      </c>
      <c r="K43" s="541">
        <v>10</v>
      </c>
      <c r="L43" s="542">
        <f>IF(I43&gt;0,(K43-I43)/I43,(IF(K43=0,"N/A",100%)))</f>
        <v>-0.56521739130434778</v>
      </c>
      <c r="M43" s="541">
        <v>22</v>
      </c>
      <c r="N43" s="542">
        <f>IF(K43&gt;0,(M43-K43)/K43,(IF(M43=0,"N/A",100%)))</f>
        <v>1.2</v>
      </c>
      <c r="O43" s="541">
        <v>19</v>
      </c>
      <c r="P43" s="544">
        <f>IF(M43&gt;0,(O43-M43)/M43,(IF(O43=0,"N/A",100%)))</f>
        <v>-0.13636363636363635</v>
      </c>
    </row>
    <row r="44" spans="1:16" ht="18" customHeight="1" x14ac:dyDescent="0.3">
      <c r="A44" s="540" t="s">
        <v>718</v>
      </c>
      <c r="B44" s="541">
        <v>0</v>
      </c>
      <c r="C44" s="541">
        <v>0</v>
      </c>
      <c r="D44" s="542" t="str">
        <f>IF(B44&gt;0,(C44-B44)/B44,(IF(C44=0,"N/A",100%)))</f>
        <v>N/A</v>
      </c>
      <c r="E44" s="541">
        <v>1</v>
      </c>
      <c r="F44" s="542">
        <f>IF(C44&gt;0,(E44-C44)/C44,(IF(E44=0,"N/A",100%)))</f>
        <v>1</v>
      </c>
      <c r="G44" s="541">
        <v>0</v>
      </c>
      <c r="H44" s="542">
        <f>IF(E44&gt;0,(G44-E44)/E44,(IF(G44=0,"N/A",100%)))</f>
        <v>-1</v>
      </c>
      <c r="I44" s="541">
        <v>0</v>
      </c>
      <c r="J44" s="734" t="str">
        <f>IF(G44&gt;0,(I44-G44)/G44,(IF(I44=0,"N/A",100%)))</f>
        <v>N/A</v>
      </c>
      <c r="K44" s="541">
        <v>0</v>
      </c>
      <c r="L44" s="542" t="str">
        <f>IF(I44&gt;0,(K44-I44)/I44,(IF(K44=0,"N/A",100%)))</f>
        <v>N/A</v>
      </c>
      <c r="M44" s="541">
        <v>0</v>
      </c>
      <c r="N44" s="542" t="str">
        <f>IF(K44&gt;0,(M44-K44)/K44,(IF(M44=0,"N/A",100%)))</f>
        <v>N/A</v>
      </c>
      <c r="O44" s="541">
        <v>0</v>
      </c>
      <c r="P44" s="544" t="str">
        <f>IF(M44&gt;0,(O44-M44)/M44,(IF(O44=0,"N/A",100%)))</f>
        <v>N/A</v>
      </c>
    </row>
    <row r="45" spans="1:16" ht="18" customHeight="1" x14ac:dyDescent="0.3">
      <c r="A45" s="546" t="s">
        <v>961</v>
      </c>
      <c r="B45" s="541">
        <f>+B44+B43</f>
        <v>15</v>
      </c>
      <c r="C45" s="541">
        <f>+C44+C43</f>
        <v>28</v>
      </c>
      <c r="D45" s="542">
        <f>IF(B45&gt;0,(C45-B45)/B45,(IF(C45=0,"N/A",100%)))</f>
        <v>0.8666666666666667</v>
      </c>
      <c r="E45" s="541">
        <f>+E44+E43</f>
        <v>16</v>
      </c>
      <c r="F45" s="542">
        <f>IF(C45&gt;0,(E45-C45)/C45,(IF(E45=0,"N/A",100%)))</f>
        <v>-0.42857142857142855</v>
      </c>
      <c r="G45" s="541">
        <f>+G44+G43</f>
        <v>17</v>
      </c>
      <c r="H45" s="542">
        <f>IF(E45&gt;0,(G45-E45)/E45,(IF(G45=0,"N/A",100%)))</f>
        <v>6.25E-2</v>
      </c>
      <c r="I45" s="541">
        <f>+I44+I43</f>
        <v>23</v>
      </c>
      <c r="J45" s="734">
        <f>IF(G45&gt;0,(I45-G45)/G45,(IF(I45=0,"N/A",100%)))</f>
        <v>0.35294117647058826</v>
      </c>
      <c r="K45" s="541">
        <f>+K44+K43</f>
        <v>10</v>
      </c>
      <c r="L45" s="542">
        <f>IF(I45&gt;0,(K45-I45)/I45,(IF(K45=0,"N/A",100%)))</f>
        <v>-0.56521739130434778</v>
      </c>
      <c r="M45" s="833">
        <f>+M44+M43</f>
        <v>22</v>
      </c>
      <c r="N45" s="542">
        <f>IF(K45&gt;0,(M45-K45)/K45,(IF(M45=0,"N/A",100%)))</f>
        <v>1.2</v>
      </c>
      <c r="O45" s="833">
        <f>+O44+O43</f>
        <v>19</v>
      </c>
      <c r="P45" s="544">
        <f>IF(M45&gt;0,(O45-M45)/M45,(IF(O45=0,"N/A",100%)))</f>
        <v>-0.13636363636363635</v>
      </c>
    </row>
    <row r="46" spans="1:16" ht="18" customHeight="1" x14ac:dyDescent="0.3">
      <c r="A46" s="536" t="s">
        <v>411</v>
      </c>
      <c r="B46" s="537"/>
      <c r="C46" s="537"/>
      <c r="D46" s="538"/>
      <c r="E46" s="537"/>
      <c r="F46" s="538"/>
      <c r="G46" s="537"/>
      <c r="H46" s="538"/>
      <c r="I46" s="537"/>
      <c r="J46" s="733"/>
      <c r="K46" s="537"/>
      <c r="L46" s="538"/>
      <c r="M46" s="537"/>
      <c r="N46" s="538"/>
      <c r="O46" s="537"/>
      <c r="P46" s="539"/>
    </row>
    <row r="47" spans="1:16" s="368" customFormat="1" ht="18" customHeight="1" x14ac:dyDescent="0.3">
      <c r="A47" s="540" t="s">
        <v>1004</v>
      </c>
      <c r="B47" s="701">
        <v>2</v>
      </c>
      <c r="C47" s="701">
        <v>8</v>
      </c>
      <c r="D47" s="542">
        <f>IF(B47&gt;0,(C47-B47)/B47,(IF(C47=0,"N/A",100%)))</f>
        <v>3</v>
      </c>
      <c r="E47" s="701">
        <v>0</v>
      </c>
      <c r="F47" s="542">
        <f>IF(C47&gt;0,(E47-C47)/C47,(IF(E47=0,"N/A",100%)))</f>
        <v>-1</v>
      </c>
      <c r="G47" s="701">
        <v>0</v>
      </c>
      <c r="H47" s="542" t="str">
        <f>IF(E47&gt;0,(G47-E47)/E47,(IF(G47=0,"N/A",100%)))</f>
        <v>N/A</v>
      </c>
      <c r="I47" s="701">
        <v>0</v>
      </c>
      <c r="J47" s="734" t="str">
        <f>IF(G47&gt;0,(I47-G47)/G47,(IF(I47=0,"N/A",100%)))</f>
        <v>N/A</v>
      </c>
      <c r="K47" s="701">
        <v>0</v>
      </c>
      <c r="L47" s="542" t="str">
        <f>IF(I47&gt;0,(K47-I47)/I47,(IF(K47=0,"N/A",100%)))</f>
        <v>N/A</v>
      </c>
      <c r="M47" s="701">
        <v>0</v>
      </c>
      <c r="N47" s="542" t="str">
        <f>IF(K47&gt;0,(M47-K47)/K47,(IF(M47=0,"N/A",100%)))</f>
        <v>N/A</v>
      </c>
      <c r="O47" s="701">
        <v>0</v>
      </c>
      <c r="P47" s="544" t="str">
        <f>IF(M47&gt;0,(O47-M47)/M47,(IF(O47=0,"N/A",100%)))</f>
        <v>N/A</v>
      </c>
    </row>
    <row r="48" spans="1:16" ht="18" customHeight="1" x14ac:dyDescent="0.3">
      <c r="A48" s="540" t="s">
        <v>638</v>
      </c>
      <c r="B48" s="541">
        <v>24</v>
      </c>
      <c r="C48" s="541">
        <v>23</v>
      </c>
      <c r="D48" s="542">
        <f>IF(B48&gt;0,(C48-B48)/B48,(IF(C48=0,"N/A",100%)))</f>
        <v>-4.1666666666666664E-2</v>
      </c>
      <c r="E48" s="541">
        <v>32</v>
      </c>
      <c r="F48" s="542">
        <f>IF(C48&gt;0,(E48-C48)/C48,(IF(E48=0,"N/A",100%)))</f>
        <v>0.39130434782608697</v>
      </c>
      <c r="G48" s="541">
        <v>25</v>
      </c>
      <c r="H48" s="542">
        <f>IF(E48&gt;0,(G48-E48)/E48,(IF(G48=0,"N/A",100%)))</f>
        <v>-0.21875</v>
      </c>
      <c r="I48" s="541">
        <v>24</v>
      </c>
      <c r="J48" s="734">
        <f>IF(G48&gt;0,(I48-G48)/G48,(IF(I48=0,"N/A",100%)))</f>
        <v>-0.04</v>
      </c>
      <c r="K48" s="541">
        <v>26</v>
      </c>
      <c r="L48" s="542">
        <f>IF(I48&gt;0,(K48-I48)/I48,(IF(K48=0,"N/A",100%)))</f>
        <v>8.3333333333333329E-2</v>
      </c>
      <c r="M48" s="541">
        <v>30</v>
      </c>
      <c r="N48" s="542">
        <f>IF(K48&gt;0,(M48-K48)/K48,(IF(M48=0,"N/A",100%)))</f>
        <v>0.15384615384615385</v>
      </c>
      <c r="O48" s="541">
        <v>34</v>
      </c>
      <c r="P48" s="544">
        <f>IF(M48&gt;0,(O48-M48)/M48,(IF(O48=0,"N/A",100%)))</f>
        <v>0.13333333333333333</v>
      </c>
    </row>
    <row r="49" spans="1:16" ht="18" customHeight="1" x14ac:dyDescent="0.3">
      <c r="A49" s="540" t="s">
        <v>637</v>
      </c>
      <c r="B49" s="541">
        <v>7</v>
      </c>
      <c r="C49" s="541">
        <v>6</v>
      </c>
      <c r="D49" s="542">
        <f>IF(B49&gt;0,(C49-B49)/B49,(IF(C49=0,"N/A",100%)))</f>
        <v>-0.14285714285714285</v>
      </c>
      <c r="E49" s="541">
        <v>3</v>
      </c>
      <c r="F49" s="542">
        <f>IF(C49&gt;0,(E49-C49)/C49,(IF(E49=0,"N/A",100%)))</f>
        <v>-0.5</v>
      </c>
      <c r="G49" s="541">
        <v>7</v>
      </c>
      <c r="H49" s="542">
        <f>IF(E49&gt;0,(G49-E49)/E49,(IF(G49=0,"N/A",100%)))</f>
        <v>1.3333333333333333</v>
      </c>
      <c r="I49" s="541">
        <v>5</v>
      </c>
      <c r="J49" s="734">
        <f>IF(G49&gt;0,(I49-G49)/G49,(IF(I49=0,"N/A",100%)))</f>
        <v>-0.2857142857142857</v>
      </c>
      <c r="K49" s="541">
        <v>4</v>
      </c>
      <c r="L49" s="542">
        <f>IF(I49&gt;0,(K49-I49)/I49,(IF(K49=0,"N/A",100%)))</f>
        <v>-0.2</v>
      </c>
      <c r="M49" s="541">
        <v>2</v>
      </c>
      <c r="N49" s="542">
        <f>IF(K49&gt;0,(M49-K49)/K49,(IF(M49=0,"N/A",100%)))</f>
        <v>-0.5</v>
      </c>
      <c r="O49" s="541">
        <v>6</v>
      </c>
      <c r="P49" s="544">
        <f>IF(M49&gt;0,(O49-M49)/M49,(IF(O49=0,"N/A",100%)))</f>
        <v>2</v>
      </c>
    </row>
    <row r="50" spans="1:16" ht="18" customHeight="1" x14ac:dyDescent="0.3">
      <c r="A50" s="546" t="s">
        <v>961</v>
      </c>
      <c r="B50" s="541">
        <f>SUM(B47:B49)</f>
        <v>33</v>
      </c>
      <c r="C50" s="541">
        <f>SUM(C47:C49)</f>
        <v>37</v>
      </c>
      <c r="D50" s="542">
        <f>IF(B50&gt;0,(C50-B50)/B50,(IF(C50=0,"N/A",100%)))</f>
        <v>0.12121212121212122</v>
      </c>
      <c r="E50" s="541">
        <f>SUM(E47:E49)</f>
        <v>35</v>
      </c>
      <c r="F50" s="542">
        <f>IF(C50&gt;0,(E50-C50)/C50,(IF(E50=0,"N/A",100%)))</f>
        <v>-5.4054054054054057E-2</v>
      </c>
      <c r="G50" s="541">
        <f>SUM(G47:G49)</f>
        <v>32</v>
      </c>
      <c r="H50" s="542">
        <f>IF(E50&gt;0,(G50-E50)/E50,(IF(G50=0,"N/A",100%)))</f>
        <v>-8.5714285714285715E-2</v>
      </c>
      <c r="I50" s="541">
        <f>SUM(I47:I49)</f>
        <v>29</v>
      </c>
      <c r="J50" s="734">
        <f>IF(G50&gt;0,(I50-G50)/G50,(IF(I50=0,"N/A",100%)))</f>
        <v>-9.375E-2</v>
      </c>
      <c r="K50" s="541">
        <f>SUM(K47:K49)</f>
        <v>30</v>
      </c>
      <c r="L50" s="542">
        <f>IF(I50&gt;0,(K50-I50)/I50,(IF(K50=0,"N/A",100%)))</f>
        <v>3.4482758620689655E-2</v>
      </c>
      <c r="M50" s="833">
        <f>SUM(M47:M49)</f>
        <v>32</v>
      </c>
      <c r="N50" s="542">
        <f>IF(K50&gt;0,(M50-K50)/K50,(IF(M50=0,"N/A",100%)))</f>
        <v>6.6666666666666666E-2</v>
      </c>
      <c r="O50" s="833">
        <f>SUM(O47:O49)</f>
        <v>40</v>
      </c>
      <c r="P50" s="544">
        <f>IF(M50&gt;0,(O50-M50)/M50,(IF(O50=0,"N/A",100%)))</f>
        <v>0.25</v>
      </c>
    </row>
    <row r="51" spans="1:16" ht="18" customHeight="1" x14ac:dyDescent="0.3">
      <c r="A51" s="536" t="s">
        <v>413</v>
      </c>
      <c r="B51" s="537"/>
      <c r="C51" s="537"/>
      <c r="D51" s="538"/>
      <c r="E51" s="537"/>
      <c r="F51" s="538"/>
      <c r="G51" s="537"/>
      <c r="H51" s="538"/>
      <c r="I51" s="537"/>
      <c r="J51" s="733"/>
      <c r="K51" s="537"/>
      <c r="L51" s="538"/>
      <c r="M51" s="537"/>
      <c r="N51" s="538"/>
      <c r="O51" s="537"/>
      <c r="P51" s="539"/>
    </row>
    <row r="52" spans="1:16" ht="18" customHeight="1" x14ac:dyDescent="0.3">
      <c r="A52" s="540" t="s">
        <v>1072</v>
      </c>
      <c r="B52" s="541">
        <v>4</v>
      </c>
      <c r="C52" s="541">
        <v>5</v>
      </c>
      <c r="D52" s="542">
        <f>IF(B52&gt;0,(C52-B52)/B52,(IF(C52=0,"N/A",100%)))</f>
        <v>0.25</v>
      </c>
      <c r="E52" s="541">
        <v>5</v>
      </c>
      <c r="F52" s="542">
        <f>IF(C52&gt;0,(E52-C52)/C52,(IF(E52=0,"N/A",100%)))</f>
        <v>0</v>
      </c>
      <c r="G52" s="541">
        <v>7</v>
      </c>
      <c r="H52" s="542">
        <f>IF(E52&gt;0,(G52-E52)/E52,(IF(G52=0,"N/A",100%)))</f>
        <v>0.4</v>
      </c>
      <c r="I52" s="541">
        <v>9</v>
      </c>
      <c r="J52" s="734">
        <f>IF(G52&gt;0,(I52-G52)/G52,(IF(I52=0,"N/A",100%)))</f>
        <v>0.2857142857142857</v>
      </c>
      <c r="K52" s="541">
        <v>7</v>
      </c>
      <c r="L52" s="542">
        <f>IF(I52&gt;0,(K52-I52)/I52,(IF(K52=0,"N/A",100%)))</f>
        <v>-0.22222222222222221</v>
      </c>
      <c r="M52" s="541">
        <v>8</v>
      </c>
      <c r="N52" s="542">
        <f>IF(K52&gt;0,(M52-K52)/K52,(IF(M52=0,"N/A",100%)))</f>
        <v>0.14285714285714285</v>
      </c>
      <c r="O52" s="541">
        <v>10</v>
      </c>
      <c r="P52" s="544">
        <f>IF(M52&gt;0,(O52-M52)/M52,(IF(O52=0,"N/A",100%)))</f>
        <v>0.25</v>
      </c>
    </row>
    <row r="53" spans="1:16" ht="18" customHeight="1" x14ac:dyDescent="0.3">
      <c r="A53" s="540" t="s">
        <v>1073</v>
      </c>
      <c r="B53" s="541">
        <v>7</v>
      </c>
      <c r="C53" s="541">
        <v>5</v>
      </c>
      <c r="D53" s="542">
        <f>IF(B53&gt;0,(C53-B53)/B53,(IF(C53=0,"N/A",100%)))</f>
        <v>-0.2857142857142857</v>
      </c>
      <c r="E53" s="541">
        <v>9</v>
      </c>
      <c r="F53" s="542">
        <f>IF(C53&gt;0,(E53-C53)/C53,(IF(E53=0,"N/A",100%)))</f>
        <v>0.8</v>
      </c>
      <c r="G53" s="541">
        <v>0</v>
      </c>
      <c r="H53" s="542">
        <f>IF(E53&gt;0,(G53-E53)/E53,(IF(G53=0,"N/A",100%)))</f>
        <v>-1</v>
      </c>
      <c r="I53" s="541">
        <v>0</v>
      </c>
      <c r="J53" s="734" t="str">
        <f>IF(G53&gt;0,(I53-G53)/G53,(IF(I53=0,"N/A",100%)))</f>
        <v>N/A</v>
      </c>
      <c r="K53" s="541">
        <v>0</v>
      </c>
      <c r="L53" s="542" t="str">
        <f>IF(I53&gt;0,(K53-I53)/I53,(IF(K53=0,"N/A",100%)))</f>
        <v>N/A</v>
      </c>
      <c r="M53" s="541">
        <v>0</v>
      </c>
      <c r="N53" s="542" t="str">
        <f>IF(K53&gt;0,(M53-K53)/K53,(IF(M53=0,"N/A",100%)))</f>
        <v>N/A</v>
      </c>
      <c r="O53" s="541">
        <v>0</v>
      </c>
      <c r="P53" s="544" t="str">
        <f>IF(M53&gt;0,(O53-M53)/M53,(IF(O53=0,"N/A",100%)))</f>
        <v>N/A</v>
      </c>
    </row>
    <row r="54" spans="1:16" ht="18" customHeight="1" x14ac:dyDescent="0.3">
      <c r="A54" s="546" t="s">
        <v>961</v>
      </c>
      <c r="B54" s="541">
        <f>+B53+B52</f>
        <v>11</v>
      </c>
      <c r="C54" s="541">
        <f>+C53+C52</f>
        <v>10</v>
      </c>
      <c r="D54" s="542">
        <f>IF(B54&gt;0,(C54-B54)/B54,(IF(C54=0,"N/A",100%)))</f>
        <v>-9.0909090909090912E-2</v>
      </c>
      <c r="E54" s="541">
        <f>+E53+E52</f>
        <v>14</v>
      </c>
      <c r="F54" s="542">
        <f>IF(C54&gt;0,(E54-C54)/C54,(IF(E54=0,"N/A",100%)))</f>
        <v>0.4</v>
      </c>
      <c r="G54" s="541">
        <f>+G53+G52</f>
        <v>7</v>
      </c>
      <c r="H54" s="542">
        <f>IF(E54&gt;0,(G54-E54)/E54,(IF(G54=0,"N/A",100%)))</f>
        <v>-0.5</v>
      </c>
      <c r="I54" s="541">
        <f>+I53+I52</f>
        <v>9</v>
      </c>
      <c r="J54" s="734">
        <f>IF(G54&gt;0,(I54-G54)/G54,(IF(I54=0,"N/A",100%)))</f>
        <v>0.2857142857142857</v>
      </c>
      <c r="K54" s="541">
        <f>+K53+K52</f>
        <v>7</v>
      </c>
      <c r="L54" s="542">
        <f>IF(I54&gt;0,(K54-I54)/I54,(IF(K54=0,"N/A",100%)))</f>
        <v>-0.22222222222222221</v>
      </c>
      <c r="M54" s="833">
        <f>+M53+M52</f>
        <v>8</v>
      </c>
      <c r="N54" s="542">
        <f>IF(K54&gt;0,(M54-K54)/K54,(IF(M54=0,"N/A",100%)))</f>
        <v>0.14285714285714285</v>
      </c>
      <c r="O54" s="833">
        <f>+O53+O52</f>
        <v>10</v>
      </c>
      <c r="P54" s="544">
        <f>IF(M54&gt;0,(O54-M54)/M54,(IF(O54=0,"N/A",100%)))</f>
        <v>0.25</v>
      </c>
    </row>
    <row r="55" spans="1:16" ht="18" customHeight="1" thickBot="1" x14ac:dyDescent="0.35">
      <c r="A55" s="763" t="s">
        <v>414</v>
      </c>
      <c r="B55" s="764">
        <f>+B54+B50+B45+B41+B35</f>
        <v>103</v>
      </c>
      <c r="C55" s="764">
        <f>+C54+C50+C45+C41+C35</f>
        <v>115</v>
      </c>
      <c r="D55" s="765">
        <f>IF(B55&gt;0,(C55-B55)/B55,(IF(C55=0,"N/A",100%)))</f>
        <v>0.11650485436893204</v>
      </c>
      <c r="E55" s="764">
        <f>+E54+E50+E45+E41+E35</f>
        <v>83</v>
      </c>
      <c r="F55" s="765">
        <f>IF(C55&gt;0,(E55-C55)/C55,(IF(E55=0,"N/A",100%)))</f>
        <v>-0.27826086956521739</v>
      </c>
      <c r="G55" s="764">
        <f>+G54+G50+G45+G41+G35</f>
        <v>74</v>
      </c>
      <c r="H55" s="735">
        <f>IF(E55&gt;0,(G55-E55)/E55,(IF(G55=0,"N/A",100%)))</f>
        <v>-0.10843373493975904</v>
      </c>
      <c r="I55" s="764">
        <f>+I54+I50+I45+I41+I35</f>
        <v>83</v>
      </c>
      <c r="J55" s="735">
        <f>IF(G55&gt;0,(I55-G55)/G55,(IF(I55=0,"N/A",100%)))</f>
        <v>0.12162162162162163</v>
      </c>
      <c r="K55" s="764">
        <f>+K54+K50+K45+K41+K35</f>
        <v>78</v>
      </c>
      <c r="L55" s="735">
        <f>IF(I55&gt;0,(K55-I55)/I55,(IF(K55=0,"N/A",100%)))</f>
        <v>-6.0240963855421686E-2</v>
      </c>
      <c r="M55" s="764">
        <f>+M54+M50+M45+M41+M35</f>
        <v>88</v>
      </c>
      <c r="N55" s="735">
        <f>IF(K55&gt;0,(M55-K55)/K55,(IF(M55=0,"N/A",100%)))</f>
        <v>0.12820512820512819</v>
      </c>
      <c r="O55" s="764">
        <f>+O54+O50+O45+O41+O35</f>
        <v>95</v>
      </c>
      <c r="P55" s="647">
        <f>IF(M55&gt;0,(O55-M55)/M55,(IF(O55=0,"N/A",100%)))</f>
        <v>7.9545454545454544E-2</v>
      </c>
    </row>
    <row r="56" spans="1:16" ht="20.25" customHeight="1" thickTop="1" thickBot="1" x14ac:dyDescent="0.35">
      <c r="A56" s="1736" t="s">
        <v>415</v>
      </c>
      <c r="B56" s="1737"/>
      <c r="C56" s="1737"/>
      <c r="D56" s="1737"/>
      <c r="E56" s="1737"/>
      <c r="F56" s="1737"/>
      <c r="G56" s="1737"/>
      <c r="H56" s="1737"/>
      <c r="I56" s="1737"/>
      <c r="J56" s="1737"/>
      <c r="K56" s="1737"/>
      <c r="L56" s="1737"/>
      <c r="M56" s="1737"/>
      <c r="N56" s="1737"/>
      <c r="O56" s="1737"/>
      <c r="P56" s="1738"/>
    </row>
    <row r="57" spans="1:16" ht="20.25" customHeight="1" thickTop="1" x14ac:dyDescent="0.3">
      <c r="A57" s="800" t="s">
        <v>401</v>
      </c>
      <c r="B57" s="673">
        <v>2002</v>
      </c>
      <c r="C57" s="673">
        <f>+B57+1</f>
        <v>2003</v>
      </c>
      <c r="D57" s="801" t="s">
        <v>1046</v>
      </c>
      <c r="E57" s="673">
        <v>2008</v>
      </c>
      <c r="F57" s="801" t="s">
        <v>1046</v>
      </c>
      <c r="G57" s="673">
        <f>E57+1</f>
        <v>2009</v>
      </c>
      <c r="H57" s="801" t="s">
        <v>1046</v>
      </c>
      <c r="I57" s="673">
        <f>G57+1</f>
        <v>2010</v>
      </c>
      <c r="J57" s="802" t="s">
        <v>1046</v>
      </c>
      <c r="K57" s="673">
        <f>I57+1</f>
        <v>2011</v>
      </c>
      <c r="L57" s="801" t="s">
        <v>1046</v>
      </c>
      <c r="M57" s="673">
        <f>K57+1</f>
        <v>2012</v>
      </c>
      <c r="N57" s="952" t="s">
        <v>1046</v>
      </c>
      <c r="O57" s="673">
        <f>M57+1</f>
        <v>2013</v>
      </c>
      <c r="P57" s="803" t="s">
        <v>1046</v>
      </c>
    </row>
    <row r="58" spans="1:16" ht="18" customHeight="1" x14ac:dyDescent="0.3">
      <c r="A58" s="536" t="s">
        <v>970</v>
      </c>
      <c r="B58" s="537"/>
      <c r="C58" s="537"/>
      <c r="D58" s="538"/>
      <c r="E58" s="537"/>
      <c r="F58" s="538"/>
      <c r="G58" s="537"/>
      <c r="H58" s="538"/>
      <c r="I58" s="537"/>
      <c r="J58" s="733"/>
      <c r="K58" s="537"/>
      <c r="L58" s="538"/>
      <c r="M58" s="537"/>
      <c r="N58" s="538"/>
      <c r="O58" s="537"/>
      <c r="P58" s="539"/>
    </row>
    <row r="59" spans="1:16" ht="18" customHeight="1" x14ac:dyDescent="0.3">
      <c r="A59" s="540" t="s">
        <v>1113</v>
      </c>
      <c r="B59" s="541">
        <v>23</v>
      </c>
      <c r="C59" s="541">
        <v>18</v>
      </c>
      <c r="D59" s="542">
        <f t="shared" ref="D59:D73" si="7">IF(B59&gt;0,(C59-B59)/B59,(IF(C59=0,"N/A",100%)))</f>
        <v>-0.21739130434782608</v>
      </c>
      <c r="E59" s="541">
        <v>20</v>
      </c>
      <c r="F59" s="542">
        <f t="shared" ref="F59:F73" si="8">IF(C59&gt;0,(E59-C59)/C59,(IF(E59=0,"N/A",100%)))</f>
        <v>0.1111111111111111</v>
      </c>
      <c r="G59" s="541">
        <v>22</v>
      </c>
      <c r="H59" s="542">
        <f t="shared" ref="H59:H73" si="9">IF(E59&gt;0,(G59-E59)/E59,(IF(G59=0,"N/A",100%)))</f>
        <v>0.1</v>
      </c>
      <c r="I59" s="833">
        <v>17</v>
      </c>
      <c r="J59" s="734">
        <f t="shared" ref="J59:J73" si="10">IF(G59&gt;0,(I59-G59)/G59,(IF(I59=0,"N/A",100%)))</f>
        <v>-0.22727272727272727</v>
      </c>
      <c r="K59" s="541">
        <v>19</v>
      </c>
      <c r="L59" s="542">
        <f t="shared" ref="L59:L73" si="11">IF(I59&gt;0,(K59-I59)/I59,(IF(K59=0,"N/A",100%)))</f>
        <v>0.11764705882352941</v>
      </c>
      <c r="M59" s="833">
        <v>11</v>
      </c>
      <c r="N59" s="542">
        <f t="shared" ref="N59:N73" si="12">IF(K59&gt;0,(M59-K59)/K59,(IF(M59=0,"N/A",100%)))</f>
        <v>-0.42105263157894735</v>
      </c>
      <c r="O59" s="833">
        <v>13</v>
      </c>
      <c r="P59" s="544">
        <f t="shared" ref="P59:P73" si="13">IF(M59&gt;0,(O59-M59)/M59,(IF(O59=0,"N/A",100%)))</f>
        <v>0.18181818181818182</v>
      </c>
    </row>
    <row r="60" spans="1:16" ht="18" customHeight="1" x14ac:dyDescent="0.3">
      <c r="A60" s="540" t="s">
        <v>1114</v>
      </c>
      <c r="B60" s="541">
        <v>25</v>
      </c>
      <c r="C60" s="541">
        <v>37</v>
      </c>
      <c r="D60" s="542">
        <f t="shared" si="7"/>
        <v>0.48</v>
      </c>
      <c r="E60" s="541">
        <v>20</v>
      </c>
      <c r="F60" s="542">
        <f t="shared" si="8"/>
        <v>-0.45945945945945948</v>
      </c>
      <c r="G60" s="541">
        <v>23</v>
      </c>
      <c r="H60" s="542">
        <f t="shared" si="9"/>
        <v>0.15</v>
      </c>
      <c r="I60" s="833">
        <v>20</v>
      </c>
      <c r="J60" s="734">
        <f t="shared" si="10"/>
        <v>-0.13043478260869565</v>
      </c>
      <c r="K60" s="541">
        <v>23</v>
      </c>
      <c r="L60" s="542">
        <f t="shared" si="11"/>
        <v>0.15</v>
      </c>
      <c r="M60" s="833">
        <v>29</v>
      </c>
      <c r="N60" s="542">
        <f t="shared" si="12"/>
        <v>0.2608695652173913</v>
      </c>
      <c r="O60" s="833">
        <v>22</v>
      </c>
      <c r="P60" s="544">
        <f t="shared" si="13"/>
        <v>-0.2413793103448276</v>
      </c>
    </row>
    <row r="61" spans="1:16" ht="18" customHeight="1" x14ac:dyDescent="0.3">
      <c r="A61" s="540" t="s">
        <v>512</v>
      </c>
      <c r="B61" s="541">
        <v>1</v>
      </c>
      <c r="C61" s="541">
        <v>4</v>
      </c>
      <c r="D61" s="542">
        <f t="shared" si="7"/>
        <v>3</v>
      </c>
      <c r="E61" s="541">
        <v>1</v>
      </c>
      <c r="F61" s="542">
        <f t="shared" si="8"/>
        <v>-0.75</v>
      </c>
      <c r="G61" s="541">
        <v>3</v>
      </c>
      <c r="H61" s="542">
        <f t="shared" si="9"/>
        <v>2</v>
      </c>
      <c r="I61" s="833">
        <v>2</v>
      </c>
      <c r="J61" s="734">
        <f t="shared" si="10"/>
        <v>-0.33333333333333331</v>
      </c>
      <c r="K61" s="541">
        <v>1</v>
      </c>
      <c r="L61" s="542">
        <f t="shared" si="11"/>
        <v>-0.5</v>
      </c>
      <c r="M61" s="833">
        <v>1</v>
      </c>
      <c r="N61" s="542">
        <f t="shared" si="12"/>
        <v>0</v>
      </c>
      <c r="O61" s="833">
        <v>2</v>
      </c>
      <c r="P61" s="544">
        <f t="shared" si="13"/>
        <v>1</v>
      </c>
    </row>
    <row r="62" spans="1:16" ht="18" customHeight="1" x14ac:dyDescent="0.3">
      <c r="A62" s="540" t="s">
        <v>1115</v>
      </c>
      <c r="B62" s="541">
        <v>73</v>
      </c>
      <c r="C62" s="541">
        <v>60</v>
      </c>
      <c r="D62" s="542">
        <f t="shared" si="7"/>
        <v>-0.17808219178082191</v>
      </c>
      <c r="E62" s="541">
        <v>28</v>
      </c>
      <c r="F62" s="542">
        <f t="shared" si="8"/>
        <v>-0.53333333333333333</v>
      </c>
      <c r="G62" s="541">
        <v>29</v>
      </c>
      <c r="H62" s="542">
        <f t="shared" si="9"/>
        <v>3.5714285714285712E-2</v>
      </c>
      <c r="I62" s="833">
        <v>32</v>
      </c>
      <c r="J62" s="734">
        <f t="shared" si="10"/>
        <v>0.10344827586206896</v>
      </c>
      <c r="K62" s="541">
        <v>22</v>
      </c>
      <c r="L62" s="542">
        <f t="shared" si="11"/>
        <v>-0.3125</v>
      </c>
      <c r="M62" s="833">
        <v>16</v>
      </c>
      <c r="N62" s="542">
        <f t="shared" si="12"/>
        <v>-0.27272727272727271</v>
      </c>
      <c r="O62" s="833">
        <v>19</v>
      </c>
      <c r="P62" s="544">
        <f t="shared" si="13"/>
        <v>0.1875</v>
      </c>
    </row>
    <row r="63" spans="1:16" ht="18" customHeight="1" x14ac:dyDescent="0.3">
      <c r="A63" s="540" t="s">
        <v>1116</v>
      </c>
      <c r="B63" s="541">
        <v>70</v>
      </c>
      <c r="C63" s="541">
        <v>83</v>
      </c>
      <c r="D63" s="542">
        <f t="shared" si="7"/>
        <v>0.18571428571428572</v>
      </c>
      <c r="E63" s="541">
        <v>18</v>
      </c>
      <c r="F63" s="542">
        <f t="shared" si="8"/>
        <v>-0.7831325301204819</v>
      </c>
      <c r="G63" s="541">
        <v>3</v>
      </c>
      <c r="H63" s="542">
        <f t="shared" si="9"/>
        <v>-0.83333333333333337</v>
      </c>
      <c r="I63" s="833">
        <v>1</v>
      </c>
      <c r="J63" s="734">
        <f t="shared" si="10"/>
        <v>-0.66666666666666663</v>
      </c>
      <c r="K63" s="541">
        <v>3</v>
      </c>
      <c r="L63" s="542">
        <f t="shared" si="11"/>
        <v>2</v>
      </c>
      <c r="M63" s="833">
        <v>3</v>
      </c>
      <c r="N63" s="542">
        <f t="shared" si="12"/>
        <v>0</v>
      </c>
      <c r="O63" s="833">
        <v>0</v>
      </c>
      <c r="P63" s="544">
        <f t="shared" si="13"/>
        <v>-1</v>
      </c>
    </row>
    <row r="64" spans="1:16" ht="18" customHeight="1" x14ac:dyDescent="0.3">
      <c r="A64" s="540" t="s">
        <v>486</v>
      </c>
      <c r="B64" s="541">
        <v>0</v>
      </c>
      <c r="C64" s="541">
        <v>0</v>
      </c>
      <c r="D64" s="542" t="str">
        <f t="shared" si="7"/>
        <v>N/A</v>
      </c>
      <c r="E64" s="541">
        <v>1</v>
      </c>
      <c r="F64" s="542">
        <f t="shared" si="8"/>
        <v>1</v>
      </c>
      <c r="G64" s="541">
        <v>0</v>
      </c>
      <c r="H64" s="542">
        <f t="shared" si="9"/>
        <v>-1</v>
      </c>
      <c r="I64" s="833">
        <v>0</v>
      </c>
      <c r="J64" s="734" t="str">
        <f t="shared" si="10"/>
        <v>N/A</v>
      </c>
      <c r="K64" s="541">
        <v>0</v>
      </c>
      <c r="L64" s="542" t="str">
        <f t="shared" si="11"/>
        <v>N/A</v>
      </c>
      <c r="M64" s="833">
        <v>0</v>
      </c>
      <c r="N64" s="542" t="str">
        <f t="shared" si="12"/>
        <v>N/A</v>
      </c>
      <c r="O64" s="833">
        <v>0</v>
      </c>
      <c r="P64" s="544" t="str">
        <f t="shared" si="13"/>
        <v>N/A</v>
      </c>
    </row>
    <row r="65" spans="1:16" ht="18" customHeight="1" x14ac:dyDescent="0.3">
      <c r="A65" s="540" t="s">
        <v>1444</v>
      </c>
      <c r="B65" s="541"/>
      <c r="C65" s="541"/>
      <c r="D65" s="542"/>
      <c r="E65" s="541">
        <v>0</v>
      </c>
      <c r="F65" s="542" t="str">
        <f t="shared" si="8"/>
        <v>N/A</v>
      </c>
      <c r="G65" s="541">
        <v>0</v>
      </c>
      <c r="H65" s="542" t="str">
        <f t="shared" si="9"/>
        <v>N/A</v>
      </c>
      <c r="I65" s="833">
        <v>0</v>
      </c>
      <c r="J65" s="734" t="str">
        <f t="shared" si="10"/>
        <v>N/A</v>
      </c>
      <c r="K65" s="541">
        <v>0</v>
      </c>
      <c r="L65" s="542" t="str">
        <f t="shared" si="11"/>
        <v>N/A</v>
      </c>
      <c r="M65" s="833">
        <v>11</v>
      </c>
      <c r="N65" s="542">
        <f t="shared" si="12"/>
        <v>1</v>
      </c>
      <c r="O65" s="833">
        <v>0</v>
      </c>
      <c r="P65" s="544">
        <f t="shared" si="13"/>
        <v>-1</v>
      </c>
    </row>
    <row r="66" spans="1:16" ht="18" customHeight="1" x14ac:dyDescent="0.3">
      <c r="A66" s="540" t="s">
        <v>1468</v>
      </c>
      <c r="B66" s="541">
        <v>0</v>
      </c>
      <c r="C66" s="541">
        <v>0</v>
      </c>
      <c r="D66" s="542" t="str">
        <f t="shared" si="7"/>
        <v>N/A</v>
      </c>
      <c r="E66" s="541">
        <v>6</v>
      </c>
      <c r="F66" s="542">
        <f t="shared" si="8"/>
        <v>1</v>
      </c>
      <c r="G66" s="541">
        <v>13</v>
      </c>
      <c r="H66" s="542">
        <f t="shared" si="9"/>
        <v>1.1666666666666667</v>
      </c>
      <c r="I66" s="833">
        <v>10</v>
      </c>
      <c r="J66" s="734">
        <f t="shared" si="10"/>
        <v>-0.23076923076923078</v>
      </c>
      <c r="K66" s="541">
        <v>8</v>
      </c>
      <c r="L66" s="542">
        <f t="shared" si="11"/>
        <v>-0.2</v>
      </c>
      <c r="M66" s="833">
        <v>22</v>
      </c>
      <c r="N66" s="542">
        <f t="shared" si="12"/>
        <v>1.75</v>
      </c>
      <c r="O66" s="833">
        <v>26</v>
      </c>
      <c r="P66" s="544">
        <f t="shared" si="13"/>
        <v>0.18181818181818182</v>
      </c>
    </row>
    <row r="67" spans="1:16" ht="18" customHeight="1" x14ac:dyDescent="0.3">
      <c r="A67" s="540" t="s">
        <v>1117</v>
      </c>
      <c r="B67" s="541">
        <v>6</v>
      </c>
      <c r="C67" s="541">
        <v>20</v>
      </c>
      <c r="D67" s="542">
        <f t="shared" si="7"/>
        <v>2.3333333333333335</v>
      </c>
      <c r="E67" s="541">
        <v>22</v>
      </c>
      <c r="F67" s="542">
        <f t="shared" si="8"/>
        <v>0.1</v>
      </c>
      <c r="G67" s="541">
        <v>11</v>
      </c>
      <c r="H67" s="542">
        <f t="shared" si="9"/>
        <v>-0.5</v>
      </c>
      <c r="I67" s="833">
        <v>13</v>
      </c>
      <c r="J67" s="734">
        <f t="shared" si="10"/>
        <v>0.18181818181818182</v>
      </c>
      <c r="K67" s="541">
        <v>18</v>
      </c>
      <c r="L67" s="542">
        <f t="shared" si="11"/>
        <v>0.38461538461538464</v>
      </c>
      <c r="M67" s="833">
        <v>19</v>
      </c>
      <c r="N67" s="542">
        <f t="shared" si="12"/>
        <v>5.5555555555555552E-2</v>
      </c>
      <c r="O67" s="833">
        <v>18</v>
      </c>
      <c r="P67" s="544">
        <f t="shared" si="13"/>
        <v>-5.2631578947368418E-2</v>
      </c>
    </row>
    <row r="68" spans="1:16" ht="18" customHeight="1" x14ac:dyDescent="0.3">
      <c r="A68" s="540" t="s">
        <v>1547</v>
      </c>
      <c r="B68" s="541">
        <v>0</v>
      </c>
      <c r="C68" s="541">
        <v>0</v>
      </c>
      <c r="D68" s="542" t="str">
        <f t="shared" si="7"/>
        <v>N/A</v>
      </c>
      <c r="E68" s="541">
        <v>0</v>
      </c>
      <c r="F68" s="542" t="str">
        <f t="shared" si="8"/>
        <v>N/A</v>
      </c>
      <c r="G68" s="541">
        <v>0</v>
      </c>
      <c r="H68" s="542" t="str">
        <f t="shared" si="9"/>
        <v>N/A</v>
      </c>
      <c r="I68" s="833">
        <v>0</v>
      </c>
      <c r="J68" s="734" t="str">
        <f t="shared" si="10"/>
        <v>N/A</v>
      </c>
      <c r="K68" s="541">
        <v>0</v>
      </c>
      <c r="L68" s="542" t="str">
        <f t="shared" si="11"/>
        <v>N/A</v>
      </c>
      <c r="M68" s="833">
        <v>0</v>
      </c>
      <c r="N68" s="542" t="str">
        <f t="shared" si="12"/>
        <v>N/A</v>
      </c>
      <c r="O68" s="833">
        <v>0</v>
      </c>
      <c r="P68" s="544" t="str">
        <f t="shared" si="13"/>
        <v>N/A</v>
      </c>
    </row>
    <row r="69" spans="1:16" ht="18" customHeight="1" x14ac:dyDescent="0.3">
      <c r="A69" s="540" t="s">
        <v>1548</v>
      </c>
      <c r="B69" s="541">
        <v>0</v>
      </c>
      <c r="C69" s="541">
        <v>0</v>
      </c>
      <c r="D69" s="542" t="str">
        <f t="shared" si="7"/>
        <v>N/A</v>
      </c>
      <c r="E69" s="541">
        <v>0</v>
      </c>
      <c r="F69" s="542" t="str">
        <f t="shared" si="8"/>
        <v>N/A</v>
      </c>
      <c r="G69" s="541">
        <v>0</v>
      </c>
      <c r="H69" s="542" t="str">
        <f t="shared" si="9"/>
        <v>N/A</v>
      </c>
      <c r="I69" s="833">
        <v>0</v>
      </c>
      <c r="J69" s="734" t="str">
        <f t="shared" si="10"/>
        <v>N/A</v>
      </c>
      <c r="K69" s="541">
        <v>0</v>
      </c>
      <c r="L69" s="542" t="str">
        <f t="shared" si="11"/>
        <v>N/A</v>
      </c>
      <c r="M69" s="833">
        <v>0</v>
      </c>
      <c r="N69" s="542" t="str">
        <f t="shared" si="12"/>
        <v>N/A</v>
      </c>
      <c r="O69" s="833">
        <v>4</v>
      </c>
      <c r="P69" s="544">
        <f t="shared" si="13"/>
        <v>1</v>
      </c>
    </row>
    <row r="70" spans="1:16" ht="18" customHeight="1" x14ac:dyDescent="0.3">
      <c r="A70" s="540" t="s">
        <v>1573</v>
      </c>
      <c r="B70" s="541">
        <v>0</v>
      </c>
      <c r="C70" s="541">
        <v>0</v>
      </c>
      <c r="D70" s="542" t="str">
        <f t="shared" si="7"/>
        <v>N/A</v>
      </c>
      <c r="E70" s="541">
        <v>0</v>
      </c>
      <c r="F70" s="542" t="str">
        <f t="shared" si="8"/>
        <v>N/A</v>
      </c>
      <c r="G70" s="541">
        <v>0</v>
      </c>
      <c r="H70" s="542" t="str">
        <f t="shared" si="9"/>
        <v>N/A</v>
      </c>
      <c r="I70" s="833">
        <v>0</v>
      </c>
      <c r="J70" s="734" t="str">
        <f t="shared" si="10"/>
        <v>N/A</v>
      </c>
      <c r="K70" s="541">
        <v>0</v>
      </c>
      <c r="L70" s="542" t="str">
        <f t="shared" si="11"/>
        <v>N/A</v>
      </c>
      <c r="M70" s="833">
        <v>0</v>
      </c>
      <c r="N70" s="542" t="str">
        <f t="shared" si="12"/>
        <v>N/A</v>
      </c>
      <c r="O70" s="833">
        <v>2</v>
      </c>
      <c r="P70" s="544">
        <f t="shared" si="13"/>
        <v>1</v>
      </c>
    </row>
    <row r="71" spans="1:16" ht="18" customHeight="1" x14ac:dyDescent="0.3">
      <c r="A71" s="540" t="s">
        <v>1549</v>
      </c>
      <c r="B71" s="541">
        <v>0</v>
      </c>
      <c r="C71" s="541">
        <v>0</v>
      </c>
      <c r="D71" s="542" t="str">
        <f t="shared" si="7"/>
        <v>N/A</v>
      </c>
      <c r="E71" s="541">
        <v>0</v>
      </c>
      <c r="F71" s="542" t="str">
        <f t="shared" si="8"/>
        <v>N/A</v>
      </c>
      <c r="G71" s="541">
        <v>0</v>
      </c>
      <c r="H71" s="542" t="str">
        <f t="shared" si="9"/>
        <v>N/A</v>
      </c>
      <c r="I71" s="833">
        <v>0</v>
      </c>
      <c r="J71" s="734" t="str">
        <f t="shared" si="10"/>
        <v>N/A</v>
      </c>
      <c r="K71" s="541">
        <v>0</v>
      </c>
      <c r="L71" s="542" t="str">
        <f t="shared" si="11"/>
        <v>N/A</v>
      </c>
      <c r="M71" s="833">
        <v>0</v>
      </c>
      <c r="N71" s="542" t="str">
        <f t="shared" si="12"/>
        <v>N/A</v>
      </c>
      <c r="O71" s="833">
        <v>5</v>
      </c>
      <c r="P71" s="544">
        <f t="shared" si="13"/>
        <v>1</v>
      </c>
    </row>
    <row r="72" spans="1:16" ht="18" customHeight="1" x14ac:dyDescent="0.3">
      <c r="A72" s="540" t="s">
        <v>1118</v>
      </c>
      <c r="B72" s="541">
        <v>289</v>
      </c>
      <c r="C72" s="541">
        <v>209</v>
      </c>
      <c r="D72" s="542">
        <f t="shared" si="7"/>
        <v>-0.27681660899653981</v>
      </c>
      <c r="E72" s="541">
        <v>91</v>
      </c>
      <c r="F72" s="542">
        <f t="shared" si="8"/>
        <v>-0.56459330143540665</v>
      </c>
      <c r="G72" s="541">
        <v>120</v>
      </c>
      <c r="H72" s="542">
        <f t="shared" si="9"/>
        <v>0.31868131868131866</v>
      </c>
      <c r="I72" s="833">
        <v>174</v>
      </c>
      <c r="J72" s="734">
        <f t="shared" si="10"/>
        <v>0.45</v>
      </c>
      <c r="K72" s="541">
        <v>190</v>
      </c>
      <c r="L72" s="542">
        <f t="shared" si="11"/>
        <v>9.1954022988505746E-2</v>
      </c>
      <c r="M72" s="833">
        <v>196</v>
      </c>
      <c r="N72" s="542">
        <f t="shared" si="12"/>
        <v>3.1578947368421054E-2</v>
      </c>
      <c r="O72" s="833">
        <v>135</v>
      </c>
      <c r="P72" s="544">
        <f t="shared" si="13"/>
        <v>-0.31122448979591838</v>
      </c>
    </row>
    <row r="73" spans="1:16" ht="18" customHeight="1" x14ac:dyDescent="0.3">
      <c r="A73" s="546" t="s">
        <v>961</v>
      </c>
      <c r="B73" s="541">
        <f>SUM(B59:B72)</f>
        <v>487</v>
      </c>
      <c r="C73" s="541">
        <f>SUM(C59:C72)</f>
        <v>431</v>
      </c>
      <c r="D73" s="542">
        <f t="shared" si="7"/>
        <v>-0.11498973305954825</v>
      </c>
      <c r="E73" s="541">
        <f>SUM(E59:E72)</f>
        <v>207</v>
      </c>
      <c r="F73" s="542">
        <f t="shared" si="8"/>
        <v>-0.51972157772621808</v>
      </c>
      <c r="G73" s="541">
        <f>SUM(G59:G72)</f>
        <v>224</v>
      </c>
      <c r="H73" s="542">
        <f t="shared" si="9"/>
        <v>8.2125603864734303E-2</v>
      </c>
      <c r="I73" s="541">
        <f>SUM(I59:I72)</f>
        <v>269</v>
      </c>
      <c r="J73" s="734">
        <f t="shared" si="10"/>
        <v>0.20089285714285715</v>
      </c>
      <c r="K73" s="541">
        <f>SUM(K59:K72)</f>
        <v>284</v>
      </c>
      <c r="L73" s="542">
        <f t="shared" si="11"/>
        <v>5.5762081784386616E-2</v>
      </c>
      <c r="M73" s="1315">
        <f>SUM(M59:M72)</f>
        <v>308</v>
      </c>
      <c r="N73" s="542">
        <f t="shared" si="12"/>
        <v>8.4507042253521125E-2</v>
      </c>
      <c r="O73" s="1315">
        <f>SUM(O59:O72)</f>
        <v>246</v>
      </c>
      <c r="P73" s="544">
        <f t="shared" si="13"/>
        <v>-0.20129870129870131</v>
      </c>
    </row>
    <row r="74" spans="1:16" ht="18" customHeight="1" x14ac:dyDescent="0.3">
      <c r="A74" s="536" t="s">
        <v>416</v>
      </c>
      <c r="B74" s="537"/>
      <c r="C74" s="537"/>
      <c r="D74" s="538"/>
      <c r="E74" s="537"/>
      <c r="F74" s="538"/>
      <c r="G74" s="537"/>
      <c r="H74" s="538"/>
      <c r="I74" s="537"/>
      <c r="J74" s="733"/>
      <c r="K74" s="537"/>
      <c r="L74" s="538"/>
      <c r="M74" s="537"/>
      <c r="N74" s="538"/>
      <c r="O74" s="537"/>
      <c r="P74" s="539"/>
    </row>
    <row r="75" spans="1:16" ht="18" customHeight="1" x14ac:dyDescent="0.3">
      <c r="A75" s="540" t="s">
        <v>579</v>
      </c>
      <c r="B75" s="541">
        <v>1</v>
      </c>
      <c r="C75" s="541">
        <v>1</v>
      </c>
      <c r="D75" s="542">
        <f t="shared" ref="D75:D82" si="14">IF(B75&gt;0,(C75-B75)/B75,(IF(C75=0,"N/A",100%)))</f>
        <v>0</v>
      </c>
      <c r="E75" s="541">
        <v>9</v>
      </c>
      <c r="F75" s="542">
        <f t="shared" ref="F75:F82" si="15">IF(C75&gt;0,(E75-C75)/C75,(IF(E75=0,"N/A",100%)))</f>
        <v>8</v>
      </c>
      <c r="G75" s="541">
        <v>3</v>
      </c>
      <c r="H75" s="542">
        <f t="shared" ref="H75:H82" si="16">IF(E75&gt;0,(G75-E75)/E75,(IF(G75=0,"N/A",100%)))</f>
        <v>-0.66666666666666663</v>
      </c>
      <c r="I75" s="541">
        <v>4</v>
      </c>
      <c r="J75" s="734">
        <f t="shared" ref="J75:J82" si="17">IF(G75&gt;0,(I75-G75)/G75,(IF(I75=0,"N/A",100%)))</f>
        <v>0.33333333333333331</v>
      </c>
      <c r="K75" s="541">
        <v>9</v>
      </c>
      <c r="L75" s="542">
        <f t="shared" ref="L75:L82" si="18">IF(I75&gt;0,(K75-I75)/I75,(IF(K75=0,"N/A",100%)))</f>
        <v>1.25</v>
      </c>
      <c r="M75" s="541">
        <v>7</v>
      </c>
      <c r="N75" s="542">
        <f t="shared" ref="N75:N82" si="19">IF(K75&gt;0,(M75-K75)/K75,(IF(M75=0,"N/A",100%)))</f>
        <v>-0.22222222222222221</v>
      </c>
      <c r="O75" s="541">
        <v>5</v>
      </c>
      <c r="P75" s="544">
        <f t="shared" ref="P75:P82" si="20">IF(M75&gt;0,(O75-M75)/M75,(IF(O75=0,"N/A",100%)))</f>
        <v>-0.2857142857142857</v>
      </c>
    </row>
    <row r="76" spans="1:16" ht="18" customHeight="1" x14ac:dyDescent="0.3">
      <c r="A76" s="540" t="s">
        <v>1144</v>
      </c>
      <c r="B76" s="541">
        <v>10</v>
      </c>
      <c r="C76" s="541">
        <v>19</v>
      </c>
      <c r="D76" s="542">
        <f t="shared" si="14"/>
        <v>0.9</v>
      </c>
      <c r="E76" s="541">
        <v>36</v>
      </c>
      <c r="F76" s="542">
        <f t="shared" si="15"/>
        <v>0.89473684210526316</v>
      </c>
      <c r="G76" s="541">
        <v>30</v>
      </c>
      <c r="H76" s="542">
        <f t="shared" si="16"/>
        <v>-0.16666666666666666</v>
      </c>
      <c r="I76" s="541">
        <v>44</v>
      </c>
      <c r="J76" s="734">
        <f t="shared" si="17"/>
        <v>0.46666666666666667</v>
      </c>
      <c r="K76" s="541">
        <v>42</v>
      </c>
      <c r="L76" s="542">
        <f t="shared" si="18"/>
        <v>-4.5454545454545456E-2</v>
      </c>
      <c r="M76" s="541">
        <v>42</v>
      </c>
      <c r="N76" s="542">
        <f t="shared" si="19"/>
        <v>0</v>
      </c>
      <c r="O76" s="541">
        <v>57</v>
      </c>
      <c r="P76" s="544">
        <f t="shared" si="20"/>
        <v>0.35714285714285715</v>
      </c>
    </row>
    <row r="77" spans="1:16" ht="18" customHeight="1" x14ac:dyDescent="0.3">
      <c r="A77" s="540" t="s">
        <v>1145</v>
      </c>
      <c r="B77" s="541">
        <v>2</v>
      </c>
      <c r="C77" s="541">
        <v>0</v>
      </c>
      <c r="D77" s="542">
        <f t="shared" si="14"/>
        <v>-1</v>
      </c>
      <c r="E77" s="541">
        <v>0</v>
      </c>
      <c r="F77" s="542" t="str">
        <f t="shared" si="15"/>
        <v>N/A</v>
      </c>
      <c r="G77" s="541">
        <v>0</v>
      </c>
      <c r="H77" s="542" t="str">
        <f t="shared" si="16"/>
        <v>N/A</v>
      </c>
      <c r="I77" s="541">
        <v>0</v>
      </c>
      <c r="J77" s="734" t="str">
        <f t="shared" si="17"/>
        <v>N/A</v>
      </c>
      <c r="K77" s="541">
        <v>0</v>
      </c>
      <c r="L77" s="542" t="str">
        <f t="shared" si="18"/>
        <v>N/A</v>
      </c>
      <c r="M77" s="541">
        <v>0</v>
      </c>
      <c r="N77" s="542" t="str">
        <f t="shared" si="19"/>
        <v>N/A</v>
      </c>
      <c r="O77" s="541">
        <v>0</v>
      </c>
      <c r="P77" s="544" t="str">
        <f t="shared" si="20"/>
        <v>N/A</v>
      </c>
    </row>
    <row r="78" spans="1:16" ht="18" customHeight="1" x14ac:dyDescent="0.3">
      <c r="A78" s="540" t="s">
        <v>1095</v>
      </c>
      <c r="B78" s="541">
        <v>3</v>
      </c>
      <c r="C78" s="541">
        <v>0</v>
      </c>
      <c r="D78" s="542">
        <f t="shared" si="14"/>
        <v>-1</v>
      </c>
      <c r="E78" s="541">
        <v>0</v>
      </c>
      <c r="F78" s="542" t="str">
        <f t="shared" si="15"/>
        <v>N/A</v>
      </c>
      <c r="G78" s="541">
        <v>0</v>
      </c>
      <c r="H78" s="542" t="str">
        <f t="shared" si="16"/>
        <v>N/A</v>
      </c>
      <c r="I78" s="541">
        <v>0</v>
      </c>
      <c r="J78" s="734" t="str">
        <f t="shared" si="17"/>
        <v>N/A</v>
      </c>
      <c r="K78" s="541">
        <v>0</v>
      </c>
      <c r="L78" s="542" t="str">
        <f t="shared" si="18"/>
        <v>N/A</v>
      </c>
      <c r="M78" s="541">
        <v>0</v>
      </c>
      <c r="N78" s="542" t="str">
        <f t="shared" si="19"/>
        <v>N/A</v>
      </c>
      <c r="O78" s="541">
        <v>0</v>
      </c>
      <c r="P78" s="544" t="str">
        <f t="shared" si="20"/>
        <v>N/A</v>
      </c>
    </row>
    <row r="79" spans="1:16" ht="18" customHeight="1" x14ac:dyDescent="0.3">
      <c r="A79" s="540" t="s">
        <v>1096</v>
      </c>
      <c r="B79" s="541">
        <v>16</v>
      </c>
      <c r="C79" s="541">
        <v>0</v>
      </c>
      <c r="D79" s="542">
        <f t="shared" si="14"/>
        <v>-1</v>
      </c>
      <c r="E79" s="541">
        <v>0</v>
      </c>
      <c r="F79" s="542" t="str">
        <f t="shared" si="15"/>
        <v>N/A</v>
      </c>
      <c r="G79" s="541">
        <v>0</v>
      </c>
      <c r="H79" s="542" t="str">
        <f t="shared" si="16"/>
        <v>N/A</v>
      </c>
      <c r="I79" s="541">
        <v>0</v>
      </c>
      <c r="J79" s="734" t="str">
        <f t="shared" si="17"/>
        <v>N/A</v>
      </c>
      <c r="K79" s="541">
        <v>0</v>
      </c>
      <c r="L79" s="542" t="str">
        <f t="shared" si="18"/>
        <v>N/A</v>
      </c>
      <c r="M79" s="541">
        <v>0</v>
      </c>
      <c r="N79" s="542" t="str">
        <f t="shared" si="19"/>
        <v>N/A</v>
      </c>
      <c r="O79" s="541">
        <v>0</v>
      </c>
      <c r="P79" s="544" t="str">
        <f t="shared" si="20"/>
        <v>N/A</v>
      </c>
    </row>
    <row r="80" spans="1:16" ht="18" customHeight="1" x14ac:dyDescent="0.3">
      <c r="A80" s="540" t="s">
        <v>1098</v>
      </c>
      <c r="B80" s="541">
        <v>17</v>
      </c>
      <c r="C80" s="541">
        <v>10</v>
      </c>
      <c r="D80" s="542">
        <f t="shared" si="14"/>
        <v>-0.41176470588235292</v>
      </c>
      <c r="E80" s="541">
        <v>10</v>
      </c>
      <c r="F80" s="542">
        <f t="shared" si="15"/>
        <v>0</v>
      </c>
      <c r="G80" s="541">
        <v>9</v>
      </c>
      <c r="H80" s="542">
        <f t="shared" si="16"/>
        <v>-0.1</v>
      </c>
      <c r="I80" s="541">
        <v>19</v>
      </c>
      <c r="J80" s="734">
        <f t="shared" si="17"/>
        <v>1.1111111111111112</v>
      </c>
      <c r="K80" s="541">
        <v>10</v>
      </c>
      <c r="L80" s="542">
        <f t="shared" si="18"/>
        <v>-0.47368421052631576</v>
      </c>
      <c r="M80" s="541">
        <v>14</v>
      </c>
      <c r="N80" s="542">
        <f t="shared" si="19"/>
        <v>0.4</v>
      </c>
      <c r="O80" s="541">
        <v>10</v>
      </c>
      <c r="P80" s="544">
        <f t="shared" si="20"/>
        <v>-0.2857142857142857</v>
      </c>
    </row>
    <row r="81" spans="1:16" ht="18" customHeight="1" x14ac:dyDescent="0.3">
      <c r="A81" s="540" t="s">
        <v>23</v>
      </c>
      <c r="B81" s="541">
        <v>0</v>
      </c>
      <c r="C81" s="541">
        <v>1</v>
      </c>
      <c r="D81" s="542">
        <f t="shared" si="14"/>
        <v>1</v>
      </c>
      <c r="E81" s="541">
        <v>0</v>
      </c>
      <c r="F81" s="542">
        <f t="shared" si="15"/>
        <v>-1</v>
      </c>
      <c r="G81" s="541">
        <v>0</v>
      </c>
      <c r="H81" s="542" t="str">
        <f t="shared" si="16"/>
        <v>N/A</v>
      </c>
      <c r="I81" s="541">
        <v>0</v>
      </c>
      <c r="J81" s="734" t="str">
        <f t="shared" si="17"/>
        <v>N/A</v>
      </c>
      <c r="K81" s="541">
        <v>0</v>
      </c>
      <c r="L81" s="542" t="str">
        <f t="shared" si="18"/>
        <v>N/A</v>
      </c>
      <c r="M81" s="541">
        <v>0</v>
      </c>
      <c r="N81" s="542" t="str">
        <f t="shared" si="19"/>
        <v>N/A</v>
      </c>
      <c r="O81" s="541">
        <v>0</v>
      </c>
      <c r="P81" s="544" t="str">
        <f t="shared" si="20"/>
        <v>N/A</v>
      </c>
    </row>
    <row r="82" spans="1:16" ht="18" customHeight="1" x14ac:dyDescent="0.3">
      <c r="A82" s="546" t="s">
        <v>961</v>
      </c>
      <c r="B82" s="541">
        <f>SUM(B75:B81)</f>
        <v>49</v>
      </c>
      <c r="C82" s="541">
        <f>SUM(C75:C81)</f>
        <v>31</v>
      </c>
      <c r="D82" s="542">
        <f t="shared" si="14"/>
        <v>-0.36734693877551022</v>
      </c>
      <c r="E82" s="541">
        <f>SUM(E75:E81)</f>
        <v>55</v>
      </c>
      <c r="F82" s="542">
        <f t="shared" si="15"/>
        <v>0.77419354838709675</v>
      </c>
      <c r="G82" s="541">
        <f>SUM(G75:G81)</f>
        <v>42</v>
      </c>
      <c r="H82" s="542">
        <f t="shared" si="16"/>
        <v>-0.23636363636363636</v>
      </c>
      <c r="I82" s="541">
        <f>SUM(I75:I81)</f>
        <v>67</v>
      </c>
      <c r="J82" s="734">
        <f t="shared" si="17"/>
        <v>0.59523809523809523</v>
      </c>
      <c r="K82" s="541">
        <f>SUM(K75:K81)</f>
        <v>61</v>
      </c>
      <c r="L82" s="542">
        <f t="shared" si="18"/>
        <v>-8.9552238805970144E-2</v>
      </c>
      <c r="M82" s="1314">
        <f>SUM(M75:M81)</f>
        <v>63</v>
      </c>
      <c r="N82" s="542">
        <f t="shared" si="19"/>
        <v>3.2786885245901641E-2</v>
      </c>
      <c r="O82" s="1314">
        <f>SUM(O75:O81)</f>
        <v>72</v>
      </c>
      <c r="P82" s="544">
        <f t="shared" si="20"/>
        <v>0.14285714285714285</v>
      </c>
    </row>
    <row r="83" spans="1:16" ht="18" customHeight="1" x14ac:dyDescent="0.3">
      <c r="A83" s="536" t="s">
        <v>417</v>
      </c>
      <c r="B83" s="537"/>
      <c r="C83" s="537"/>
      <c r="D83" s="538"/>
      <c r="E83" s="537"/>
      <c r="F83" s="538"/>
      <c r="G83" s="537"/>
      <c r="H83" s="538"/>
      <c r="I83" s="537"/>
      <c r="J83" s="733"/>
      <c r="K83" s="537"/>
      <c r="L83" s="538"/>
      <c r="M83" s="537"/>
      <c r="N83" s="538"/>
      <c r="O83" s="537"/>
      <c r="P83" s="539"/>
    </row>
    <row r="84" spans="1:16" ht="18" customHeight="1" x14ac:dyDescent="0.3">
      <c r="A84" s="540" t="s">
        <v>1047</v>
      </c>
      <c r="B84" s="541">
        <v>14</v>
      </c>
      <c r="C84" s="541">
        <v>20</v>
      </c>
      <c r="D84" s="542">
        <f t="shared" ref="D84:D90" si="21">IF(B84&gt;0,(C84-B84)/B84,(IF(C84=0,"N/A",100%)))</f>
        <v>0.42857142857142855</v>
      </c>
      <c r="E84" s="541">
        <v>10</v>
      </c>
      <c r="F84" s="542">
        <f t="shared" ref="F84:F90" si="22">IF(C84&gt;0,(E84-C84)/C84,(IF(E84=0,"N/A",100%)))</f>
        <v>-0.5</v>
      </c>
      <c r="G84" s="541">
        <v>14</v>
      </c>
      <c r="H84" s="542">
        <f t="shared" ref="H84:H90" si="23">IF(E84&gt;0,(G84-E84)/E84,(IF(G84=0,"N/A",100%)))</f>
        <v>0.4</v>
      </c>
      <c r="I84" s="541">
        <v>16</v>
      </c>
      <c r="J84" s="734">
        <f t="shared" ref="J84:J90" si="24">IF(G84&gt;0,(I84-G84)/G84,(IF(I84=0,"N/A",100%)))</f>
        <v>0.14285714285714285</v>
      </c>
      <c r="K84" s="541">
        <v>12</v>
      </c>
      <c r="L84" s="542">
        <f t="shared" ref="L84:L90" si="25">IF(I84&gt;0,(K84-I84)/I84,(IF(K84=0,"N/A",100%)))</f>
        <v>-0.25</v>
      </c>
      <c r="M84" s="541">
        <v>34</v>
      </c>
      <c r="N84" s="542">
        <f t="shared" ref="N84:N90" si="26">IF(K84&gt;0,(M84-K84)/K84,(IF(M84=0,"N/A",100%)))</f>
        <v>1.8333333333333333</v>
      </c>
      <c r="O84" s="541">
        <v>29</v>
      </c>
      <c r="P84" s="544">
        <f t="shared" ref="P84:P90" si="27">IF(M84&gt;0,(O84-M84)/M84,(IF(O84=0,"N/A",100%)))</f>
        <v>-0.14705882352941177</v>
      </c>
    </row>
    <row r="85" spans="1:16" ht="18" customHeight="1" x14ac:dyDescent="0.3">
      <c r="A85" s="540" t="s">
        <v>1081</v>
      </c>
      <c r="B85" s="541">
        <v>0</v>
      </c>
      <c r="C85" s="541">
        <v>0</v>
      </c>
      <c r="D85" s="542" t="str">
        <f t="shared" si="21"/>
        <v>N/A</v>
      </c>
      <c r="E85" s="541">
        <v>1</v>
      </c>
      <c r="F85" s="542">
        <f t="shared" si="22"/>
        <v>1</v>
      </c>
      <c r="G85" s="541">
        <v>2</v>
      </c>
      <c r="H85" s="542">
        <f t="shared" si="23"/>
        <v>1</v>
      </c>
      <c r="I85" s="541">
        <v>0</v>
      </c>
      <c r="J85" s="734">
        <f t="shared" si="24"/>
        <v>-1</v>
      </c>
      <c r="K85" s="541">
        <v>3</v>
      </c>
      <c r="L85" s="542">
        <f t="shared" si="25"/>
        <v>1</v>
      </c>
      <c r="M85" s="541">
        <v>1</v>
      </c>
      <c r="N85" s="542">
        <f t="shared" si="26"/>
        <v>-0.66666666666666663</v>
      </c>
      <c r="O85" s="541">
        <v>0</v>
      </c>
      <c r="P85" s="544">
        <f t="shared" si="27"/>
        <v>-1</v>
      </c>
    </row>
    <row r="86" spans="1:16" ht="18" customHeight="1" x14ac:dyDescent="0.3">
      <c r="A86" s="540" t="s">
        <v>1048</v>
      </c>
      <c r="B86" s="541">
        <v>2</v>
      </c>
      <c r="C86" s="541">
        <v>1</v>
      </c>
      <c r="D86" s="542">
        <f t="shared" si="21"/>
        <v>-0.5</v>
      </c>
      <c r="E86" s="541">
        <v>1</v>
      </c>
      <c r="F86" s="542">
        <f t="shared" si="22"/>
        <v>0</v>
      </c>
      <c r="G86" s="541">
        <v>3</v>
      </c>
      <c r="H86" s="542">
        <f t="shared" si="23"/>
        <v>2</v>
      </c>
      <c r="I86" s="541">
        <v>0</v>
      </c>
      <c r="J86" s="734">
        <f t="shared" si="24"/>
        <v>-1</v>
      </c>
      <c r="K86" s="541"/>
      <c r="L86" s="542" t="str">
        <f t="shared" si="25"/>
        <v>N/A</v>
      </c>
      <c r="M86" s="541">
        <v>0</v>
      </c>
      <c r="N86" s="542" t="str">
        <f t="shared" si="26"/>
        <v>N/A</v>
      </c>
      <c r="O86" s="541">
        <v>0</v>
      </c>
      <c r="P86" s="544" t="str">
        <f t="shared" si="27"/>
        <v>N/A</v>
      </c>
    </row>
    <row r="87" spans="1:16" ht="18" customHeight="1" x14ac:dyDescent="0.3">
      <c r="A87" s="540" t="s">
        <v>1049</v>
      </c>
      <c r="B87" s="541">
        <v>16</v>
      </c>
      <c r="C87" s="541">
        <v>27</v>
      </c>
      <c r="D87" s="542">
        <f t="shared" si="21"/>
        <v>0.6875</v>
      </c>
      <c r="E87" s="541">
        <v>8</v>
      </c>
      <c r="F87" s="542">
        <f t="shared" si="22"/>
        <v>-0.70370370370370372</v>
      </c>
      <c r="G87" s="541">
        <v>12</v>
      </c>
      <c r="H87" s="542">
        <f t="shared" si="23"/>
        <v>0.5</v>
      </c>
      <c r="I87" s="541">
        <v>16</v>
      </c>
      <c r="J87" s="734">
        <f t="shared" si="24"/>
        <v>0.33333333333333331</v>
      </c>
      <c r="K87" s="541">
        <v>17</v>
      </c>
      <c r="L87" s="542">
        <f t="shared" si="25"/>
        <v>6.25E-2</v>
      </c>
      <c r="M87" s="541">
        <v>6</v>
      </c>
      <c r="N87" s="542">
        <f t="shared" si="26"/>
        <v>-0.6470588235294118</v>
      </c>
      <c r="O87" s="541">
        <v>1</v>
      </c>
      <c r="P87" s="544">
        <f t="shared" si="27"/>
        <v>-0.83333333333333337</v>
      </c>
    </row>
    <row r="88" spans="1:16" ht="18" customHeight="1" x14ac:dyDescent="0.3">
      <c r="A88" s="540" t="s">
        <v>1051</v>
      </c>
      <c r="B88" s="541">
        <v>12</v>
      </c>
      <c r="C88" s="541">
        <v>12</v>
      </c>
      <c r="D88" s="542">
        <f t="shared" si="21"/>
        <v>0</v>
      </c>
      <c r="E88" s="541">
        <v>3</v>
      </c>
      <c r="F88" s="542">
        <f t="shared" si="22"/>
        <v>-0.75</v>
      </c>
      <c r="G88" s="541">
        <v>4</v>
      </c>
      <c r="H88" s="542">
        <f t="shared" si="23"/>
        <v>0.33333333333333331</v>
      </c>
      <c r="I88" s="541">
        <v>0</v>
      </c>
      <c r="J88" s="734">
        <f t="shared" si="24"/>
        <v>-1</v>
      </c>
      <c r="K88" s="541"/>
      <c r="L88" s="542" t="str">
        <f t="shared" si="25"/>
        <v>N/A</v>
      </c>
      <c r="M88" s="541">
        <v>0</v>
      </c>
      <c r="N88" s="542" t="str">
        <f t="shared" si="26"/>
        <v>N/A</v>
      </c>
      <c r="O88" s="541">
        <v>0</v>
      </c>
      <c r="P88" s="544" t="str">
        <f t="shared" si="27"/>
        <v>N/A</v>
      </c>
    </row>
    <row r="89" spans="1:16" ht="18" customHeight="1" x14ac:dyDescent="0.3">
      <c r="A89" s="546" t="s">
        <v>961</v>
      </c>
      <c r="B89" s="541">
        <f>SUM(B84:B88)</f>
        <v>44</v>
      </c>
      <c r="C89" s="541">
        <f>SUM(C84:C88)</f>
        <v>60</v>
      </c>
      <c r="D89" s="542">
        <f t="shared" si="21"/>
        <v>0.36363636363636365</v>
      </c>
      <c r="E89" s="541">
        <f>SUM(E84:E88)</f>
        <v>23</v>
      </c>
      <c r="F89" s="542">
        <f t="shared" si="22"/>
        <v>-0.6166666666666667</v>
      </c>
      <c r="G89" s="541">
        <f>SUM(G84:G88)</f>
        <v>35</v>
      </c>
      <c r="H89" s="542">
        <f t="shared" si="23"/>
        <v>0.52173913043478259</v>
      </c>
      <c r="I89" s="541">
        <f>SUM(I84:I88)</f>
        <v>32</v>
      </c>
      <c r="J89" s="734">
        <f>IF(G89&gt;0,(K89-G89)/G89,(IF(K89=0,"N/A",100%)))</f>
        <v>-8.5714285714285715E-2</v>
      </c>
      <c r="K89" s="541">
        <f>SUM(K84:K88)</f>
        <v>32</v>
      </c>
      <c r="L89" s="542">
        <f t="shared" si="25"/>
        <v>0</v>
      </c>
      <c r="M89" s="833">
        <f>SUM(M84:M88)</f>
        <v>41</v>
      </c>
      <c r="N89" s="542">
        <f t="shared" si="26"/>
        <v>0.28125</v>
      </c>
      <c r="O89" s="833">
        <f>SUM(O84:O88)</f>
        <v>30</v>
      </c>
      <c r="P89" s="544">
        <f t="shared" si="27"/>
        <v>-0.26829268292682928</v>
      </c>
    </row>
    <row r="90" spans="1:16" ht="18" customHeight="1" thickBot="1" x14ac:dyDescent="0.35">
      <c r="A90" s="857" t="s">
        <v>418</v>
      </c>
      <c r="B90" s="670">
        <f>+B89+B82+B73</f>
        <v>580</v>
      </c>
      <c r="C90" s="670">
        <f>+C89+C82+C73</f>
        <v>522</v>
      </c>
      <c r="D90" s="1358">
        <f t="shared" si="21"/>
        <v>-0.1</v>
      </c>
      <c r="E90" s="670">
        <f>+E89+E82+E73</f>
        <v>285</v>
      </c>
      <c r="F90" s="1358">
        <f t="shared" si="22"/>
        <v>-0.45402298850574713</v>
      </c>
      <c r="G90" s="670">
        <f>+G89+G82+G73</f>
        <v>301</v>
      </c>
      <c r="H90" s="1358">
        <f t="shared" si="23"/>
        <v>5.6140350877192984E-2</v>
      </c>
      <c r="I90" s="670">
        <f>+I89+I82+I73</f>
        <v>368</v>
      </c>
      <c r="J90" s="858">
        <f t="shared" si="24"/>
        <v>0.22259136212624583</v>
      </c>
      <c r="K90" s="670">
        <f>+K89+K82+K73</f>
        <v>377</v>
      </c>
      <c r="L90" s="1358">
        <f t="shared" si="25"/>
        <v>2.4456521739130436E-2</v>
      </c>
      <c r="M90" s="670">
        <f>+M89+M82+M73</f>
        <v>412</v>
      </c>
      <c r="N90" s="556">
        <f t="shared" si="26"/>
        <v>9.2838196286472149E-2</v>
      </c>
      <c r="O90" s="670">
        <f>+O89+O82+O73</f>
        <v>348</v>
      </c>
      <c r="P90" s="859">
        <f t="shared" si="27"/>
        <v>-0.1553398058252427</v>
      </c>
    </row>
    <row r="91" spans="1:16" ht="20.25" customHeight="1" thickTop="1" thickBot="1" x14ac:dyDescent="0.35">
      <c r="A91" s="1736" t="s">
        <v>419</v>
      </c>
      <c r="B91" s="1737"/>
      <c r="C91" s="1737"/>
      <c r="D91" s="1737"/>
      <c r="E91" s="1737"/>
      <c r="F91" s="1737"/>
      <c r="G91" s="1737"/>
      <c r="H91" s="1737"/>
      <c r="I91" s="1737"/>
      <c r="J91" s="1737"/>
      <c r="K91" s="1737"/>
      <c r="L91" s="1737"/>
      <c r="M91" s="1737"/>
      <c r="N91" s="1737"/>
      <c r="O91" s="1737"/>
      <c r="P91" s="1738"/>
    </row>
    <row r="92" spans="1:16" ht="20.25" customHeight="1" thickTop="1" x14ac:dyDescent="0.3">
      <c r="A92" s="800" t="s">
        <v>401</v>
      </c>
      <c r="B92" s="673">
        <v>2002</v>
      </c>
      <c r="C92" s="673">
        <f>+B92+1</f>
        <v>2003</v>
      </c>
      <c r="D92" s="801" t="s">
        <v>1046</v>
      </c>
      <c r="E92" s="673">
        <v>2008</v>
      </c>
      <c r="F92" s="801" t="s">
        <v>1046</v>
      </c>
      <c r="G92" s="673">
        <f>E92+1</f>
        <v>2009</v>
      </c>
      <c r="H92" s="801" t="s">
        <v>1046</v>
      </c>
      <c r="I92" s="673">
        <f>G92+1</f>
        <v>2010</v>
      </c>
      <c r="J92" s="802" t="s">
        <v>1046</v>
      </c>
      <c r="K92" s="673">
        <f>I92+1</f>
        <v>2011</v>
      </c>
      <c r="L92" s="801" t="s">
        <v>1046</v>
      </c>
      <c r="M92" s="673">
        <f>K92+1</f>
        <v>2012</v>
      </c>
      <c r="N92" s="952" t="s">
        <v>1046</v>
      </c>
      <c r="O92" s="673">
        <f>M92+1</f>
        <v>2013</v>
      </c>
      <c r="P92" s="803" t="s">
        <v>1046</v>
      </c>
    </row>
    <row r="93" spans="1:16" ht="18" customHeight="1" x14ac:dyDescent="0.3">
      <c r="A93" s="551" t="s">
        <v>420</v>
      </c>
      <c r="B93" s="552"/>
      <c r="C93" s="554"/>
      <c r="D93" s="553"/>
      <c r="E93" s="554"/>
      <c r="F93" s="553"/>
      <c r="G93" s="554"/>
      <c r="H93" s="553"/>
      <c r="I93" s="554"/>
      <c r="J93" s="553"/>
      <c r="K93" s="554"/>
      <c r="L93" s="553"/>
      <c r="M93" s="554"/>
      <c r="N93" s="553"/>
      <c r="O93" s="554"/>
      <c r="P93" s="555"/>
    </row>
    <row r="94" spans="1:16" ht="18" customHeight="1" x14ac:dyDescent="0.3">
      <c r="A94" s="540" t="s">
        <v>1099</v>
      </c>
      <c r="B94" s="541">
        <v>24</v>
      </c>
      <c r="C94" s="541">
        <v>37</v>
      </c>
      <c r="D94" s="542">
        <f t="shared" ref="D94:D101" si="28">IF(B94&gt;0,(C94-B94)/B94,(IF(C94=0,"N/A",100%)))</f>
        <v>0.54166666666666663</v>
      </c>
      <c r="E94" s="541">
        <v>21</v>
      </c>
      <c r="F94" s="542">
        <f t="shared" ref="F94:F101" si="29">IF(C94&gt;0,(E94-C94)/C94,(IF(E94=0,"N/A",100%)))</f>
        <v>-0.43243243243243246</v>
      </c>
      <c r="G94" s="541">
        <v>19</v>
      </c>
      <c r="H94" s="542">
        <f t="shared" ref="H94:H101" si="30">IF(E94&gt;0,(G94-E94)/E94,(IF(G94=0,"N/A",100%)))</f>
        <v>-9.5238095238095233E-2</v>
      </c>
      <c r="I94" s="541">
        <v>24</v>
      </c>
      <c r="J94" s="734">
        <f t="shared" ref="J94:J101" si="31">IF(G94&gt;0,(I94-G94)/G94,(IF(I94=0,"N/A",100%)))</f>
        <v>0.26315789473684209</v>
      </c>
      <c r="K94" s="541">
        <v>16</v>
      </c>
      <c r="L94" s="542">
        <f t="shared" ref="L94:L101" si="32">IF(I94&gt;0,(K94-I94)/I94,(IF(K94=0,"N/A",100%)))</f>
        <v>-0.33333333333333331</v>
      </c>
      <c r="M94" s="541">
        <v>19</v>
      </c>
      <c r="N94" s="542">
        <f t="shared" ref="N94:N101" si="33">IF(K94&gt;0,(M94-K94)/K94,(IF(M94=0,"N/A",100%)))</f>
        <v>0.1875</v>
      </c>
      <c r="O94" s="541">
        <v>24</v>
      </c>
      <c r="P94" s="544">
        <f t="shared" ref="P94:P101" si="34">IF(M94&gt;0,(O94-M94)/M94,(IF(O94=0,"N/A",100%)))</f>
        <v>0.26315789473684209</v>
      </c>
    </row>
    <row r="95" spans="1:16" ht="18" customHeight="1" x14ac:dyDescent="0.3">
      <c r="A95" s="540" t="s">
        <v>1104</v>
      </c>
      <c r="B95" s="541">
        <v>18</v>
      </c>
      <c r="C95" s="541">
        <v>27</v>
      </c>
      <c r="D95" s="542">
        <f t="shared" si="28"/>
        <v>0.5</v>
      </c>
      <c r="E95" s="541">
        <v>11</v>
      </c>
      <c r="F95" s="542">
        <f t="shared" si="29"/>
        <v>-0.59259259259259256</v>
      </c>
      <c r="G95" s="541">
        <v>2</v>
      </c>
      <c r="H95" s="542">
        <f t="shared" si="30"/>
        <v>-0.81818181818181823</v>
      </c>
      <c r="I95" s="541">
        <v>5</v>
      </c>
      <c r="J95" s="734">
        <f t="shared" si="31"/>
        <v>1.5</v>
      </c>
      <c r="K95" s="541">
        <v>9</v>
      </c>
      <c r="L95" s="542">
        <f t="shared" si="32"/>
        <v>0.8</v>
      </c>
      <c r="M95" s="541">
        <v>6</v>
      </c>
      <c r="N95" s="542">
        <f t="shared" si="33"/>
        <v>-0.33333333333333331</v>
      </c>
      <c r="O95" s="541">
        <v>11</v>
      </c>
      <c r="P95" s="544">
        <f t="shared" si="34"/>
        <v>0.83333333333333337</v>
      </c>
    </row>
    <row r="96" spans="1:16" ht="18" customHeight="1" x14ac:dyDescent="0.3">
      <c r="A96" s="540" t="s">
        <v>1105</v>
      </c>
      <c r="B96" s="541">
        <v>0</v>
      </c>
      <c r="C96" s="541">
        <v>0</v>
      </c>
      <c r="D96" s="542" t="str">
        <f t="shared" si="28"/>
        <v>N/A</v>
      </c>
      <c r="E96" s="541">
        <v>6</v>
      </c>
      <c r="F96" s="542">
        <f t="shared" si="29"/>
        <v>1</v>
      </c>
      <c r="G96" s="541">
        <v>0</v>
      </c>
      <c r="H96" s="542">
        <f t="shared" si="30"/>
        <v>-1</v>
      </c>
      <c r="I96" s="541">
        <v>0</v>
      </c>
      <c r="J96" s="734" t="str">
        <f t="shared" si="31"/>
        <v>N/A</v>
      </c>
      <c r="K96" s="541">
        <v>0</v>
      </c>
      <c r="L96" s="542" t="str">
        <f t="shared" si="32"/>
        <v>N/A</v>
      </c>
      <c r="M96" s="541">
        <v>0</v>
      </c>
      <c r="N96" s="542" t="str">
        <f t="shared" si="33"/>
        <v>N/A</v>
      </c>
      <c r="O96" s="541">
        <v>0</v>
      </c>
      <c r="P96" s="544" t="str">
        <f t="shared" si="34"/>
        <v>N/A</v>
      </c>
    </row>
    <row r="97" spans="1:16" ht="18" customHeight="1" x14ac:dyDescent="0.3">
      <c r="A97" s="540" t="s">
        <v>1106</v>
      </c>
      <c r="B97" s="541">
        <v>33</v>
      </c>
      <c r="C97" s="541">
        <v>41</v>
      </c>
      <c r="D97" s="542">
        <f t="shared" si="28"/>
        <v>0.24242424242424243</v>
      </c>
      <c r="E97" s="541">
        <v>24</v>
      </c>
      <c r="F97" s="542">
        <f t="shared" si="29"/>
        <v>-0.41463414634146339</v>
      </c>
      <c r="G97" s="541">
        <v>30</v>
      </c>
      <c r="H97" s="542">
        <f t="shared" si="30"/>
        <v>0.25</v>
      </c>
      <c r="I97" s="541">
        <v>25</v>
      </c>
      <c r="J97" s="734">
        <f t="shared" si="31"/>
        <v>-0.16666666666666666</v>
      </c>
      <c r="K97" s="541">
        <v>56</v>
      </c>
      <c r="L97" s="542">
        <f t="shared" si="32"/>
        <v>1.24</v>
      </c>
      <c r="M97" s="541">
        <v>54</v>
      </c>
      <c r="N97" s="542">
        <f t="shared" si="33"/>
        <v>-3.5714285714285712E-2</v>
      </c>
      <c r="O97" s="541">
        <v>37</v>
      </c>
      <c r="P97" s="544">
        <f t="shared" si="34"/>
        <v>-0.31481481481481483</v>
      </c>
    </row>
    <row r="98" spans="1:16" ht="18" customHeight="1" x14ac:dyDescent="0.3">
      <c r="A98" s="540" t="s">
        <v>1107</v>
      </c>
      <c r="B98" s="541">
        <v>105</v>
      </c>
      <c r="C98" s="541">
        <v>76</v>
      </c>
      <c r="D98" s="542">
        <f t="shared" si="28"/>
        <v>-0.27619047619047621</v>
      </c>
      <c r="E98" s="541">
        <v>64</v>
      </c>
      <c r="F98" s="542">
        <f t="shared" si="29"/>
        <v>-0.15789473684210525</v>
      </c>
      <c r="G98" s="541">
        <v>60</v>
      </c>
      <c r="H98" s="542">
        <f t="shared" si="30"/>
        <v>-6.25E-2</v>
      </c>
      <c r="I98" s="541">
        <v>55</v>
      </c>
      <c r="J98" s="734">
        <f t="shared" si="31"/>
        <v>-8.3333333333333329E-2</v>
      </c>
      <c r="K98" s="541">
        <v>51</v>
      </c>
      <c r="L98" s="542">
        <f t="shared" si="32"/>
        <v>-7.2727272727272724E-2</v>
      </c>
      <c r="M98" s="541">
        <v>49</v>
      </c>
      <c r="N98" s="542">
        <f t="shared" si="33"/>
        <v>-3.9215686274509803E-2</v>
      </c>
      <c r="O98" s="541">
        <v>43</v>
      </c>
      <c r="P98" s="544">
        <f t="shared" si="34"/>
        <v>-0.12244897959183673</v>
      </c>
    </row>
    <row r="99" spans="1:16" ht="18" customHeight="1" x14ac:dyDescent="0.3">
      <c r="A99" s="540" t="s">
        <v>1133</v>
      </c>
      <c r="B99" s="541">
        <v>4</v>
      </c>
      <c r="C99" s="541">
        <v>1</v>
      </c>
      <c r="D99" s="542">
        <f t="shared" si="28"/>
        <v>-0.75</v>
      </c>
      <c r="E99" s="541">
        <v>0</v>
      </c>
      <c r="F99" s="542">
        <f t="shared" si="29"/>
        <v>-1</v>
      </c>
      <c r="G99" s="541">
        <v>0</v>
      </c>
      <c r="H99" s="542" t="str">
        <f t="shared" si="30"/>
        <v>N/A</v>
      </c>
      <c r="I99" s="541">
        <v>0</v>
      </c>
      <c r="J99" s="734" t="str">
        <f t="shared" si="31"/>
        <v>N/A</v>
      </c>
      <c r="K99" s="541">
        <v>0</v>
      </c>
      <c r="L99" s="542" t="str">
        <f t="shared" si="32"/>
        <v>N/A</v>
      </c>
      <c r="M99" s="541">
        <v>0</v>
      </c>
      <c r="N99" s="542" t="str">
        <f t="shared" si="33"/>
        <v>N/A</v>
      </c>
      <c r="O99" s="541">
        <v>0</v>
      </c>
      <c r="P99" s="544" t="str">
        <f t="shared" si="34"/>
        <v>N/A</v>
      </c>
    </row>
    <row r="100" spans="1:16" ht="18" customHeight="1" x14ac:dyDescent="0.3">
      <c r="A100" s="540" t="s">
        <v>1086</v>
      </c>
      <c r="B100" s="541">
        <v>0</v>
      </c>
      <c r="C100" s="541">
        <v>0</v>
      </c>
      <c r="D100" s="542" t="str">
        <f t="shared" si="28"/>
        <v>N/A</v>
      </c>
      <c r="E100" s="541">
        <v>0</v>
      </c>
      <c r="F100" s="542" t="str">
        <f t="shared" si="29"/>
        <v>N/A</v>
      </c>
      <c r="G100" s="541">
        <v>1</v>
      </c>
      <c r="H100" s="542">
        <f t="shared" si="30"/>
        <v>1</v>
      </c>
      <c r="I100" s="541">
        <v>0</v>
      </c>
      <c r="J100" s="734">
        <f t="shared" si="31"/>
        <v>-1</v>
      </c>
      <c r="K100" s="541">
        <v>0</v>
      </c>
      <c r="L100" s="542" t="str">
        <f t="shared" si="32"/>
        <v>N/A</v>
      </c>
      <c r="M100" s="541">
        <v>0</v>
      </c>
      <c r="N100" s="542" t="str">
        <f t="shared" si="33"/>
        <v>N/A</v>
      </c>
      <c r="O100" s="541">
        <v>0</v>
      </c>
      <c r="P100" s="544" t="str">
        <f t="shared" si="34"/>
        <v>N/A</v>
      </c>
    </row>
    <row r="101" spans="1:16" ht="18" customHeight="1" x14ac:dyDescent="0.3">
      <c r="A101" s="546" t="s">
        <v>961</v>
      </c>
      <c r="B101" s="541">
        <f>SUM(B94:B100)</f>
        <v>184</v>
      </c>
      <c r="C101" s="541">
        <f>SUM(C94:C100)</f>
        <v>182</v>
      </c>
      <c r="D101" s="542">
        <f t="shared" si="28"/>
        <v>-1.0869565217391304E-2</v>
      </c>
      <c r="E101" s="541">
        <f>SUM(E94:E100)</f>
        <v>126</v>
      </c>
      <c r="F101" s="542">
        <f t="shared" si="29"/>
        <v>-0.30769230769230771</v>
      </c>
      <c r="G101" s="541">
        <f>SUM(G94:G100)</f>
        <v>112</v>
      </c>
      <c r="H101" s="542">
        <f t="shared" si="30"/>
        <v>-0.1111111111111111</v>
      </c>
      <c r="I101" s="541">
        <f>SUM(I94:I100)</f>
        <v>109</v>
      </c>
      <c r="J101" s="734">
        <f t="shared" si="31"/>
        <v>-2.6785714285714284E-2</v>
      </c>
      <c r="K101" s="541">
        <f>SUM(K94:K100)</f>
        <v>132</v>
      </c>
      <c r="L101" s="542">
        <f t="shared" si="32"/>
        <v>0.21100917431192662</v>
      </c>
      <c r="M101" s="1314">
        <f>SUM(M94:M100)</f>
        <v>128</v>
      </c>
      <c r="N101" s="542">
        <f t="shared" si="33"/>
        <v>-3.0303030303030304E-2</v>
      </c>
      <c r="O101" s="1314">
        <f>SUM(O94:O100)</f>
        <v>115</v>
      </c>
      <c r="P101" s="544">
        <f t="shared" si="34"/>
        <v>-0.1015625</v>
      </c>
    </row>
    <row r="102" spans="1:16" ht="18" customHeight="1" x14ac:dyDescent="0.3">
      <c r="A102" s="536" t="s">
        <v>421</v>
      </c>
      <c r="B102" s="537"/>
      <c r="C102" s="537"/>
      <c r="D102" s="538"/>
      <c r="E102" s="537"/>
      <c r="F102" s="538"/>
      <c r="G102" s="537"/>
      <c r="H102" s="538"/>
      <c r="I102" s="537"/>
      <c r="J102" s="733"/>
      <c r="K102" s="537"/>
      <c r="L102" s="538"/>
      <c r="M102" s="537"/>
      <c r="N102" s="538"/>
      <c r="O102" s="537"/>
      <c r="P102" s="539"/>
    </row>
    <row r="103" spans="1:16" ht="18" customHeight="1" x14ac:dyDescent="0.3">
      <c r="A103" s="860" t="s">
        <v>700</v>
      </c>
      <c r="B103" s="701"/>
      <c r="C103" s="701">
        <v>0</v>
      </c>
      <c r="D103" s="867"/>
      <c r="E103" s="701">
        <v>9</v>
      </c>
      <c r="F103" s="542">
        <f t="shared" ref="F103:F115" si="35">IF(C103&gt;0,(E103-C103)/C103,(IF(E103=0,"N/A",100%)))</f>
        <v>1</v>
      </c>
      <c r="G103" s="701">
        <v>8</v>
      </c>
      <c r="H103" s="542">
        <f t="shared" ref="H103:H115" si="36">IF(E103&gt;0,(G103-E103)/E103,(IF(G103=0,"N/A",100%)))</f>
        <v>-0.1111111111111111</v>
      </c>
      <c r="I103" s="701">
        <v>4</v>
      </c>
      <c r="J103" s="734">
        <f t="shared" ref="J103:J115" si="37">IF(G103&gt;0,(I103-G103)/G103,(IF(I103=0,"N/A",100%)))</f>
        <v>-0.5</v>
      </c>
      <c r="K103" s="701">
        <v>1</v>
      </c>
      <c r="L103" s="542">
        <f t="shared" ref="L103:L115" si="38">IF(I103&gt;0,(K103-I103)/I103,(IF(K103=0,"N/A",100%)))</f>
        <v>-0.75</v>
      </c>
      <c r="M103" s="833">
        <v>4</v>
      </c>
      <c r="N103" s="542">
        <f t="shared" ref="N103:N115" si="39">IF(K103&gt;0,(M103-K103)/K103,(IF(M103=0,"N/A",100%)))</f>
        <v>3</v>
      </c>
      <c r="O103" s="833">
        <v>0</v>
      </c>
      <c r="P103" s="544">
        <f t="shared" ref="P103:P115" si="40">IF(M103&gt;0,(O103-M103)/M103,(IF(O103=0,"N/A",100%)))</f>
        <v>-1</v>
      </c>
    </row>
    <row r="104" spans="1:16" ht="18" customHeight="1" x14ac:dyDescent="0.3">
      <c r="A104" s="540" t="s">
        <v>1077</v>
      </c>
      <c r="B104" s="541">
        <v>9</v>
      </c>
      <c r="C104" s="541">
        <v>10</v>
      </c>
      <c r="D104" s="542">
        <f>IF(B104&gt;0,(C104-B104)/B104,(IF(C104=0,"N/A",100%)))</f>
        <v>0.1111111111111111</v>
      </c>
      <c r="E104" s="541">
        <v>17</v>
      </c>
      <c r="F104" s="542">
        <f t="shared" si="35"/>
        <v>0.7</v>
      </c>
      <c r="G104" s="541">
        <v>14</v>
      </c>
      <c r="H104" s="542">
        <f t="shared" si="36"/>
        <v>-0.17647058823529413</v>
      </c>
      <c r="I104" s="541">
        <v>8</v>
      </c>
      <c r="J104" s="734">
        <f t="shared" si="37"/>
        <v>-0.42857142857142855</v>
      </c>
      <c r="K104" s="541">
        <v>8</v>
      </c>
      <c r="L104" s="542">
        <f t="shared" si="38"/>
        <v>0</v>
      </c>
      <c r="M104" s="833">
        <v>8</v>
      </c>
      <c r="N104" s="542">
        <f t="shared" si="39"/>
        <v>0</v>
      </c>
      <c r="O104" s="833">
        <v>3</v>
      </c>
      <c r="P104" s="544">
        <f t="shared" si="40"/>
        <v>-0.625</v>
      </c>
    </row>
    <row r="105" spans="1:16" ht="18" customHeight="1" x14ac:dyDescent="0.3">
      <c r="A105" s="540" t="s">
        <v>167</v>
      </c>
      <c r="B105" s="541">
        <v>1</v>
      </c>
      <c r="C105" s="541">
        <v>0</v>
      </c>
      <c r="D105" s="542">
        <f>IF(B105&gt;0,(C105-B105)/B105,(IF(C105=0,"N/A",100%)))</f>
        <v>-1</v>
      </c>
      <c r="E105" s="541">
        <v>4</v>
      </c>
      <c r="F105" s="542">
        <f t="shared" si="35"/>
        <v>1</v>
      </c>
      <c r="G105" s="541">
        <v>2</v>
      </c>
      <c r="H105" s="542">
        <f t="shared" si="36"/>
        <v>-0.5</v>
      </c>
      <c r="I105" s="541">
        <v>1</v>
      </c>
      <c r="J105" s="734">
        <f t="shared" si="37"/>
        <v>-0.5</v>
      </c>
      <c r="K105" s="541">
        <v>1</v>
      </c>
      <c r="L105" s="542">
        <f t="shared" si="38"/>
        <v>0</v>
      </c>
      <c r="M105" s="833">
        <v>1</v>
      </c>
      <c r="N105" s="542">
        <f t="shared" si="39"/>
        <v>0</v>
      </c>
      <c r="O105" s="833">
        <v>0</v>
      </c>
      <c r="P105" s="544">
        <f t="shared" si="40"/>
        <v>-1</v>
      </c>
    </row>
    <row r="106" spans="1:16" ht="18" customHeight="1" x14ac:dyDescent="0.3">
      <c r="A106" s="540" t="s">
        <v>719</v>
      </c>
      <c r="B106" s="541">
        <v>4</v>
      </c>
      <c r="C106" s="541">
        <v>3</v>
      </c>
      <c r="D106" s="542">
        <f>IF(B106&gt;0,(C106-B106)/B106,(IF(C106=0,"N/A",100%)))</f>
        <v>-0.25</v>
      </c>
      <c r="E106" s="541">
        <v>0</v>
      </c>
      <c r="F106" s="542">
        <f t="shared" si="35"/>
        <v>-1</v>
      </c>
      <c r="G106" s="541">
        <v>1</v>
      </c>
      <c r="H106" s="542">
        <f t="shared" si="36"/>
        <v>1</v>
      </c>
      <c r="I106" s="541">
        <v>0</v>
      </c>
      <c r="J106" s="734">
        <f t="shared" si="37"/>
        <v>-1</v>
      </c>
      <c r="K106" s="541">
        <v>0</v>
      </c>
      <c r="L106" s="542" t="str">
        <f t="shared" si="38"/>
        <v>N/A</v>
      </c>
      <c r="M106" s="833">
        <v>0</v>
      </c>
      <c r="N106" s="542" t="str">
        <f t="shared" si="39"/>
        <v>N/A</v>
      </c>
      <c r="O106" s="833">
        <v>0</v>
      </c>
      <c r="P106" s="544" t="str">
        <f t="shared" si="40"/>
        <v>N/A</v>
      </c>
    </row>
    <row r="107" spans="1:16" ht="18" customHeight="1" x14ac:dyDescent="0.3">
      <c r="A107" s="540" t="s">
        <v>1317</v>
      </c>
      <c r="B107" s="541">
        <v>2</v>
      </c>
      <c r="C107" s="541">
        <v>5</v>
      </c>
      <c r="D107" s="542">
        <v>0</v>
      </c>
      <c r="E107" s="541">
        <v>2</v>
      </c>
      <c r="F107" s="542">
        <f t="shared" si="35"/>
        <v>-0.6</v>
      </c>
      <c r="G107" s="541">
        <v>0</v>
      </c>
      <c r="H107" s="542">
        <f t="shared" si="36"/>
        <v>-1</v>
      </c>
      <c r="I107" s="541">
        <v>0</v>
      </c>
      <c r="J107" s="734" t="str">
        <f t="shared" si="37"/>
        <v>N/A</v>
      </c>
      <c r="K107" s="541">
        <v>0</v>
      </c>
      <c r="L107" s="542" t="str">
        <f t="shared" si="38"/>
        <v>N/A</v>
      </c>
      <c r="M107" s="833">
        <v>0</v>
      </c>
      <c r="N107" s="542" t="str">
        <f t="shared" si="39"/>
        <v>N/A</v>
      </c>
      <c r="O107" s="833">
        <v>0</v>
      </c>
      <c r="P107" s="544" t="str">
        <f t="shared" si="40"/>
        <v>N/A</v>
      </c>
    </row>
    <row r="108" spans="1:16" ht="18" customHeight="1" x14ac:dyDescent="0.3">
      <c r="A108" s="540" t="s">
        <v>732</v>
      </c>
      <c r="B108" s="541">
        <v>4</v>
      </c>
      <c r="C108" s="541">
        <v>5</v>
      </c>
      <c r="D108" s="542">
        <f t="shared" ref="D108:D115" si="41">IF(B108&gt;0,(C108-B108)/B108,(IF(C108=0,"N/A",100%)))</f>
        <v>0.25</v>
      </c>
      <c r="E108" s="541">
        <v>3</v>
      </c>
      <c r="F108" s="542">
        <f t="shared" si="35"/>
        <v>-0.4</v>
      </c>
      <c r="G108" s="541">
        <v>4</v>
      </c>
      <c r="H108" s="542">
        <f t="shared" si="36"/>
        <v>0.33333333333333331</v>
      </c>
      <c r="I108" s="541">
        <v>4</v>
      </c>
      <c r="J108" s="734">
        <f t="shared" si="37"/>
        <v>0</v>
      </c>
      <c r="K108" s="541">
        <v>2</v>
      </c>
      <c r="L108" s="542">
        <f t="shared" si="38"/>
        <v>-0.5</v>
      </c>
      <c r="M108" s="833">
        <v>0</v>
      </c>
      <c r="N108" s="542">
        <f t="shared" si="39"/>
        <v>-1</v>
      </c>
      <c r="O108" s="833">
        <v>3</v>
      </c>
      <c r="P108" s="544">
        <f t="shared" si="40"/>
        <v>1</v>
      </c>
    </row>
    <row r="109" spans="1:16" ht="18" customHeight="1" x14ac:dyDescent="0.3">
      <c r="A109" s="540" t="s">
        <v>1303</v>
      </c>
      <c r="B109" s="541">
        <v>1</v>
      </c>
      <c r="C109" s="541">
        <v>5</v>
      </c>
      <c r="D109" s="542">
        <f t="shared" si="41"/>
        <v>4</v>
      </c>
      <c r="E109" s="541">
        <v>2</v>
      </c>
      <c r="F109" s="542">
        <f t="shared" si="35"/>
        <v>-0.6</v>
      </c>
      <c r="G109" s="541">
        <v>3</v>
      </c>
      <c r="H109" s="542">
        <f t="shared" si="36"/>
        <v>0.5</v>
      </c>
      <c r="I109" s="541">
        <v>2</v>
      </c>
      <c r="J109" s="734">
        <f t="shared" si="37"/>
        <v>-0.33333333333333331</v>
      </c>
      <c r="K109" s="541">
        <v>0</v>
      </c>
      <c r="L109" s="542">
        <f t="shared" si="38"/>
        <v>-1</v>
      </c>
      <c r="M109" s="833">
        <v>1</v>
      </c>
      <c r="N109" s="542">
        <f t="shared" si="39"/>
        <v>1</v>
      </c>
      <c r="O109" s="833">
        <v>0</v>
      </c>
      <c r="P109" s="544">
        <f t="shared" si="40"/>
        <v>-1</v>
      </c>
    </row>
    <row r="110" spans="1:16" ht="18" customHeight="1" x14ac:dyDescent="0.3">
      <c r="A110" s="540" t="s">
        <v>1053</v>
      </c>
      <c r="B110" s="541">
        <v>16</v>
      </c>
      <c r="C110" s="541">
        <v>26</v>
      </c>
      <c r="D110" s="542">
        <f t="shared" si="41"/>
        <v>0.625</v>
      </c>
      <c r="E110" s="541">
        <v>21</v>
      </c>
      <c r="F110" s="542">
        <f t="shared" si="35"/>
        <v>-0.19230769230769232</v>
      </c>
      <c r="G110" s="541">
        <v>11</v>
      </c>
      <c r="H110" s="542">
        <f t="shared" si="36"/>
        <v>-0.47619047619047616</v>
      </c>
      <c r="I110" s="541">
        <v>16</v>
      </c>
      <c r="J110" s="734">
        <f t="shared" si="37"/>
        <v>0.45454545454545453</v>
      </c>
      <c r="K110" s="541">
        <v>10</v>
      </c>
      <c r="L110" s="542">
        <f t="shared" si="38"/>
        <v>-0.375</v>
      </c>
      <c r="M110" s="833">
        <v>24</v>
      </c>
      <c r="N110" s="542">
        <f t="shared" si="39"/>
        <v>1.4</v>
      </c>
      <c r="O110" s="833">
        <v>19</v>
      </c>
      <c r="P110" s="544">
        <f t="shared" si="40"/>
        <v>-0.20833333333333334</v>
      </c>
    </row>
    <row r="111" spans="1:16" ht="18" customHeight="1" x14ac:dyDescent="0.3">
      <c r="A111" s="540" t="s">
        <v>1054</v>
      </c>
      <c r="B111" s="541">
        <v>6</v>
      </c>
      <c r="C111" s="541">
        <v>2</v>
      </c>
      <c r="D111" s="542">
        <f t="shared" si="41"/>
        <v>-0.66666666666666663</v>
      </c>
      <c r="E111" s="541">
        <v>5</v>
      </c>
      <c r="F111" s="542">
        <f t="shared" si="35"/>
        <v>1.5</v>
      </c>
      <c r="G111" s="541">
        <v>2</v>
      </c>
      <c r="H111" s="542">
        <f t="shared" si="36"/>
        <v>-0.6</v>
      </c>
      <c r="I111" s="541">
        <v>2</v>
      </c>
      <c r="J111" s="734">
        <f t="shared" si="37"/>
        <v>0</v>
      </c>
      <c r="K111" s="541">
        <v>0</v>
      </c>
      <c r="L111" s="542">
        <f t="shared" si="38"/>
        <v>-1</v>
      </c>
      <c r="M111" s="833">
        <v>0</v>
      </c>
      <c r="N111" s="542" t="str">
        <f t="shared" si="39"/>
        <v>N/A</v>
      </c>
      <c r="O111" s="833">
        <v>0</v>
      </c>
      <c r="P111" s="544" t="str">
        <f t="shared" si="40"/>
        <v>N/A</v>
      </c>
    </row>
    <row r="112" spans="1:16" ht="18" customHeight="1" x14ac:dyDescent="0.3">
      <c r="A112" s="540" t="s">
        <v>1055</v>
      </c>
      <c r="B112" s="541">
        <v>20</v>
      </c>
      <c r="C112" s="541">
        <v>22</v>
      </c>
      <c r="D112" s="542">
        <f t="shared" si="41"/>
        <v>0.1</v>
      </c>
      <c r="E112" s="541">
        <v>23</v>
      </c>
      <c r="F112" s="542">
        <f t="shared" si="35"/>
        <v>4.5454545454545456E-2</v>
      </c>
      <c r="G112" s="541">
        <v>17</v>
      </c>
      <c r="H112" s="542">
        <f t="shared" si="36"/>
        <v>-0.2608695652173913</v>
      </c>
      <c r="I112" s="541">
        <v>13</v>
      </c>
      <c r="J112" s="734">
        <f t="shared" si="37"/>
        <v>-0.23529411764705882</v>
      </c>
      <c r="K112" s="541">
        <v>19</v>
      </c>
      <c r="L112" s="542">
        <f t="shared" si="38"/>
        <v>0.46153846153846156</v>
      </c>
      <c r="M112" s="833">
        <v>17</v>
      </c>
      <c r="N112" s="542">
        <f t="shared" si="39"/>
        <v>-0.10526315789473684</v>
      </c>
      <c r="O112" s="833">
        <v>18</v>
      </c>
      <c r="P112" s="544">
        <f t="shared" si="40"/>
        <v>5.8823529411764705E-2</v>
      </c>
    </row>
    <row r="113" spans="1:16" ht="18" customHeight="1" x14ac:dyDescent="0.3">
      <c r="A113" s="540" t="s">
        <v>1056</v>
      </c>
      <c r="B113" s="541">
        <v>6</v>
      </c>
      <c r="C113" s="541">
        <v>9</v>
      </c>
      <c r="D113" s="542">
        <f t="shared" si="41"/>
        <v>0.5</v>
      </c>
      <c r="E113" s="541">
        <v>0</v>
      </c>
      <c r="F113" s="542">
        <f t="shared" si="35"/>
        <v>-1</v>
      </c>
      <c r="G113" s="541">
        <v>3</v>
      </c>
      <c r="H113" s="542">
        <f t="shared" si="36"/>
        <v>1</v>
      </c>
      <c r="I113" s="541">
        <v>2</v>
      </c>
      <c r="J113" s="734">
        <f t="shared" si="37"/>
        <v>-0.33333333333333331</v>
      </c>
      <c r="K113" s="541">
        <v>1</v>
      </c>
      <c r="L113" s="542">
        <f t="shared" si="38"/>
        <v>-0.5</v>
      </c>
      <c r="M113" s="833">
        <v>1</v>
      </c>
      <c r="N113" s="542">
        <f t="shared" si="39"/>
        <v>0</v>
      </c>
      <c r="O113" s="833">
        <v>0</v>
      </c>
      <c r="P113" s="544">
        <f t="shared" si="40"/>
        <v>-1</v>
      </c>
    </row>
    <row r="114" spans="1:16" ht="18" customHeight="1" x14ac:dyDescent="0.3">
      <c r="A114" s="546" t="s">
        <v>961</v>
      </c>
      <c r="B114" s="541">
        <f>SUM(B104:B113)</f>
        <v>69</v>
      </c>
      <c r="C114" s="541">
        <f>SUM(C104:C113)</f>
        <v>87</v>
      </c>
      <c r="D114" s="542">
        <f t="shared" si="41"/>
        <v>0.2608695652173913</v>
      </c>
      <c r="E114" s="541">
        <f>SUM(E103:E113)</f>
        <v>86</v>
      </c>
      <c r="F114" s="542">
        <f t="shared" si="35"/>
        <v>-1.1494252873563218E-2</v>
      </c>
      <c r="G114" s="541">
        <f>SUM(G103:G113)</f>
        <v>65</v>
      </c>
      <c r="H114" s="542">
        <f t="shared" si="36"/>
        <v>-0.2441860465116279</v>
      </c>
      <c r="I114" s="541">
        <f>SUM(I103:I113)</f>
        <v>52</v>
      </c>
      <c r="J114" s="734">
        <f t="shared" si="37"/>
        <v>-0.2</v>
      </c>
      <c r="K114" s="541">
        <f>SUM(K103:K113)</f>
        <v>42</v>
      </c>
      <c r="L114" s="542">
        <f t="shared" si="38"/>
        <v>-0.19230769230769232</v>
      </c>
      <c r="M114" s="541">
        <f>SUM(M103:M113)</f>
        <v>56</v>
      </c>
      <c r="N114" s="542">
        <f t="shared" si="39"/>
        <v>0.33333333333333331</v>
      </c>
      <c r="O114" s="541">
        <f>SUM(O103:O113)</f>
        <v>43</v>
      </c>
      <c r="P114" s="544">
        <f t="shared" si="40"/>
        <v>-0.23214285714285715</v>
      </c>
    </row>
    <row r="115" spans="1:16" ht="18" customHeight="1" thickBot="1" x14ac:dyDescent="0.35">
      <c r="A115" s="549" t="s">
        <v>422</v>
      </c>
      <c r="B115" s="550">
        <f>+B114+B101</f>
        <v>253</v>
      </c>
      <c r="C115" s="550">
        <f>+C114+C101</f>
        <v>269</v>
      </c>
      <c r="D115" s="556">
        <f t="shared" si="41"/>
        <v>6.3241106719367585E-2</v>
      </c>
      <c r="E115" s="550">
        <f>+E114+E101</f>
        <v>212</v>
      </c>
      <c r="F115" s="556">
        <f t="shared" si="35"/>
        <v>-0.21189591078066913</v>
      </c>
      <c r="G115" s="550">
        <f>+G114+G101</f>
        <v>177</v>
      </c>
      <c r="H115" s="556">
        <f t="shared" si="36"/>
        <v>-0.1650943396226415</v>
      </c>
      <c r="I115" s="550">
        <f>+I114+I101</f>
        <v>161</v>
      </c>
      <c r="J115" s="736">
        <f t="shared" si="37"/>
        <v>-9.03954802259887E-2</v>
      </c>
      <c r="K115" s="550">
        <f>+K114+K101</f>
        <v>174</v>
      </c>
      <c r="L115" s="556">
        <f t="shared" si="38"/>
        <v>8.0745341614906832E-2</v>
      </c>
      <c r="M115" s="550">
        <f>+M114+M101</f>
        <v>184</v>
      </c>
      <c r="N115" s="556">
        <f t="shared" si="39"/>
        <v>5.7471264367816091E-2</v>
      </c>
      <c r="O115" s="550">
        <f>+O114+O101</f>
        <v>158</v>
      </c>
      <c r="P115" s="557">
        <f t="shared" si="40"/>
        <v>-0.14130434782608695</v>
      </c>
    </row>
    <row r="116" spans="1:16" ht="18" customHeight="1" thickTop="1" x14ac:dyDescent="0.3">
      <c r="A116" s="536" t="s">
        <v>930</v>
      </c>
      <c r="B116" s="537"/>
      <c r="C116" s="537"/>
      <c r="D116" s="538"/>
      <c r="E116" s="537"/>
      <c r="F116" s="538"/>
      <c r="G116" s="537"/>
      <c r="H116" s="538"/>
      <c r="I116" s="537"/>
      <c r="J116" s="733"/>
      <c r="K116" s="537"/>
      <c r="L116" s="538"/>
      <c r="M116" s="537"/>
      <c r="N116" s="538"/>
      <c r="O116" s="537"/>
      <c r="P116" s="539"/>
    </row>
    <row r="117" spans="1:16" ht="18" customHeight="1" x14ac:dyDescent="0.3">
      <c r="A117" s="540" t="s">
        <v>1091</v>
      </c>
      <c r="B117" s="541">
        <v>46</v>
      </c>
      <c r="C117" s="541">
        <v>49</v>
      </c>
      <c r="D117" s="542">
        <f t="shared" ref="D117:D122" si="42">IF(B117&gt;0,(C117-B117)/B117,(IF(C117=0,"N/A",100%)))</f>
        <v>6.5217391304347824E-2</v>
      </c>
      <c r="E117" s="541">
        <f>32+74</f>
        <v>106</v>
      </c>
      <c r="F117" s="542">
        <f t="shared" ref="F117:F122" si="43">IF(C117&gt;0,(E117-C117)/C117,(IF(E117=0,"N/A",100%)))</f>
        <v>1.1632653061224489</v>
      </c>
      <c r="G117" s="541">
        <v>33</v>
      </c>
      <c r="H117" s="543">
        <f t="shared" ref="H117:H122" si="44">IF(E117&gt;0,(G117-E117)/E117,(IF(G117=0,"N/A",100%)))</f>
        <v>-0.68867924528301883</v>
      </c>
      <c r="I117" s="833">
        <f>41+237</f>
        <v>278</v>
      </c>
      <c r="J117" s="734">
        <f t="shared" ref="J117:J122" si="45">IF(G117&gt;0,(I117-G117)/G117,(IF(I117=0,"N/A",100%)))</f>
        <v>7.4242424242424239</v>
      </c>
      <c r="K117" s="541">
        <f>29+94</f>
        <v>123</v>
      </c>
      <c r="L117" s="542">
        <f t="shared" ref="L117:L122" si="46">IF(I117&gt;0,(K117-I117)/I117,(IF(K117=0,"N/A",100%)))</f>
        <v>-0.55755395683453235</v>
      </c>
      <c r="M117" s="833">
        <f>147+32</f>
        <v>179</v>
      </c>
      <c r="N117" s="542">
        <f t="shared" ref="N117:N122" si="47">IF(K117&gt;0,(M117-K117)/K117,(IF(M117=0,"N/A",100%)))</f>
        <v>0.45528455284552843</v>
      </c>
      <c r="O117" s="833">
        <v>39</v>
      </c>
      <c r="P117" s="544">
        <f t="shared" ref="P117:P122" si="48">IF(M117&gt;0,(O117-M117)/M117,(IF(O117=0,"N/A",100%)))</f>
        <v>-0.78212290502793291</v>
      </c>
    </row>
    <row r="118" spans="1:16" ht="18" customHeight="1" x14ac:dyDescent="0.3">
      <c r="A118" s="540" t="s">
        <v>1092</v>
      </c>
      <c r="B118" s="541">
        <v>4</v>
      </c>
      <c r="C118" s="541">
        <v>1</v>
      </c>
      <c r="D118" s="542">
        <f t="shared" si="42"/>
        <v>-0.75</v>
      </c>
      <c r="E118" s="541">
        <v>0</v>
      </c>
      <c r="F118" s="542">
        <f t="shared" si="43"/>
        <v>-1</v>
      </c>
      <c r="G118" s="541">
        <v>0</v>
      </c>
      <c r="H118" s="542" t="str">
        <f t="shared" si="44"/>
        <v>N/A</v>
      </c>
      <c r="I118" s="833">
        <v>0</v>
      </c>
      <c r="J118" s="734" t="str">
        <f t="shared" si="45"/>
        <v>N/A</v>
      </c>
      <c r="K118" s="541">
        <v>0</v>
      </c>
      <c r="L118" s="542" t="str">
        <f t="shared" si="46"/>
        <v>N/A</v>
      </c>
      <c r="M118" s="541">
        <v>0</v>
      </c>
      <c r="N118" s="542" t="str">
        <f t="shared" si="47"/>
        <v>N/A</v>
      </c>
      <c r="O118" s="541">
        <v>0</v>
      </c>
      <c r="P118" s="544" t="str">
        <f t="shared" si="48"/>
        <v>N/A</v>
      </c>
    </row>
    <row r="119" spans="1:16" ht="18" customHeight="1" x14ac:dyDescent="0.3">
      <c r="A119" s="540" t="s">
        <v>1093</v>
      </c>
      <c r="B119" s="541">
        <v>1</v>
      </c>
      <c r="C119" s="541">
        <v>0</v>
      </c>
      <c r="D119" s="542">
        <f t="shared" si="42"/>
        <v>-1</v>
      </c>
      <c r="E119" s="541">
        <v>0</v>
      </c>
      <c r="F119" s="542" t="str">
        <f t="shared" si="43"/>
        <v>N/A</v>
      </c>
      <c r="G119" s="541">
        <v>0</v>
      </c>
      <c r="H119" s="542" t="str">
        <f t="shared" si="44"/>
        <v>N/A</v>
      </c>
      <c r="I119" s="833">
        <v>0</v>
      </c>
      <c r="J119" s="734" t="str">
        <f t="shared" si="45"/>
        <v>N/A</v>
      </c>
      <c r="K119" s="541">
        <v>0</v>
      </c>
      <c r="L119" s="542" t="str">
        <f t="shared" si="46"/>
        <v>N/A</v>
      </c>
      <c r="M119" s="541">
        <v>0</v>
      </c>
      <c r="N119" s="542" t="str">
        <f t="shared" si="47"/>
        <v>N/A</v>
      </c>
      <c r="O119" s="541">
        <v>0</v>
      </c>
      <c r="P119" s="544" t="str">
        <f t="shared" si="48"/>
        <v>N/A</v>
      </c>
    </row>
    <row r="120" spans="1:16" ht="18" customHeight="1" x14ac:dyDescent="0.3">
      <c r="A120" s="540" t="s">
        <v>1094</v>
      </c>
      <c r="B120" s="541">
        <v>79</v>
      </c>
      <c r="C120" s="541">
        <v>95</v>
      </c>
      <c r="D120" s="542">
        <f t="shared" si="42"/>
        <v>0.20253164556962025</v>
      </c>
      <c r="E120" s="541">
        <v>10</v>
      </c>
      <c r="F120" s="542">
        <f t="shared" si="43"/>
        <v>-0.89473684210526316</v>
      </c>
      <c r="G120" s="541">
        <v>234</v>
      </c>
      <c r="H120" s="542">
        <f t="shared" si="44"/>
        <v>22.4</v>
      </c>
      <c r="I120" s="833">
        <v>10</v>
      </c>
      <c r="J120" s="734">
        <f t="shared" si="45"/>
        <v>-0.95726495726495731</v>
      </c>
      <c r="K120" s="541">
        <v>118</v>
      </c>
      <c r="L120" s="542">
        <f t="shared" si="46"/>
        <v>10.8</v>
      </c>
      <c r="M120" s="541">
        <v>15</v>
      </c>
      <c r="N120" s="542">
        <f t="shared" si="47"/>
        <v>-0.8728813559322034</v>
      </c>
      <c r="O120" s="541">
        <v>143</v>
      </c>
      <c r="P120" s="544">
        <f t="shared" si="48"/>
        <v>8.5333333333333332</v>
      </c>
    </row>
    <row r="121" spans="1:16" ht="18" customHeight="1" x14ac:dyDescent="0.3">
      <c r="A121" s="546" t="s">
        <v>961</v>
      </c>
      <c r="B121" s="558">
        <f>SUM(B117:B120)</f>
        <v>130</v>
      </c>
      <c r="C121" s="559">
        <f>SUM(C117:C120)</f>
        <v>145</v>
      </c>
      <c r="D121" s="542">
        <f t="shared" si="42"/>
        <v>0.11538461538461539</v>
      </c>
      <c r="E121" s="559">
        <f>SUM(E117:E120)</f>
        <v>116</v>
      </c>
      <c r="F121" s="542">
        <f t="shared" si="43"/>
        <v>-0.2</v>
      </c>
      <c r="G121" s="559">
        <f>SUM(G117:G120)</f>
        <v>267</v>
      </c>
      <c r="H121" s="542">
        <f t="shared" si="44"/>
        <v>1.3017241379310345</v>
      </c>
      <c r="I121" s="559">
        <f>SUM(I117:I120)</f>
        <v>288</v>
      </c>
      <c r="J121" s="734">
        <f t="shared" si="45"/>
        <v>7.8651685393258425E-2</v>
      </c>
      <c r="K121" s="559">
        <f>SUM(K117:K120)</f>
        <v>241</v>
      </c>
      <c r="L121" s="542">
        <f t="shared" si="46"/>
        <v>-0.16319444444444445</v>
      </c>
      <c r="M121" s="559">
        <f>SUM(M117:M120)</f>
        <v>194</v>
      </c>
      <c r="N121" s="542">
        <f t="shared" si="47"/>
        <v>-0.19502074688796681</v>
      </c>
      <c r="O121" s="559">
        <f>SUM(O117:O120)</f>
        <v>182</v>
      </c>
      <c r="P121" s="544">
        <f t="shared" si="48"/>
        <v>-6.1855670103092786E-2</v>
      </c>
    </row>
    <row r="122" spans="1:16" ht="18" customHeight="1" thickBot="1" x14ac:dyDescent="0.35">
      <c r="A122" s="648" t="s">
        <v>949</v>
      </c>
      <c r="B122" s="649">
        <f>+B121+B115+B90+B55+B29</f>
        <v>1200</v>
      </c>
      <c r="C122" s="649">
        <f>+C121+C115+C90+C55+C29</f>
        <v>1197</v>
      </c>
      <c r="D122" s="650">
        <f t="shared" si="42"/>
        <v>-2.5000000000000001E-3</v>
      </c>
      <c r="E122" s="649">
        <f>+E121+E115+E90+E55+E29</f>
        <v>822</v>
      </c>
      <c r="F122" s="650">
        <f t="shared" si="43"/>
        <v>-0.31328320802005011</v>
      </c>
      <c r="G122" s="649">
        <f>+G121+G115+G90+G55+G29</f>
        <v>962</v>
      </c>
      <c r="H122" s="650">
        <f t="shared" si="44"/>
        <v>0.170316301703163</v>
      </c>
      <c r="I122" s="649">
        <f>+I121+I115+I90+I55+I29</f>
        <v>1014</v>
      </c>
      <c r="J122" s="737">
        <f t="shared" si="45"/>
        <v>5.4054054054054057E-2</v>
      </c>
      <c r="K122" s="649">
        <f>+K121+K115+K90+K55+K29</f>
        <v>1014</v>
      </c>
      <c r="L122" s="650">
        <f t="shared" si="46"/>
        <v>0</v>
      </c>
      <c r="M122" s="649">
        <f>+M121+M115+M90+M55+M29</f>
        <v>1003</v>
      </c>
      <c r="N122" s="650">
        <f t="shared" si="47"/>
        <v>-1.0848126232741617E-2</v>
      </c>
      <c r="O122" s="649">
        <f>+O121+O115+O90+O55+O29</f>
        <v>904</v>
      </c>
      <c r="P122" s="651">
        <f t="shared" si="48"/>
        <v>-9.8703888334995021E-2</v>
      </c>
    </row>
    <row r="123" spans="1:16" ht="18" customHeight="1" thickTop="1" x14ac:dyDescent="0.25">
      <c r="A123" s="560" t="s">
        <v>1119</v>
      </c>
      <c r="B123" s="561"/>
      <c r="C123" s="561"/>
      <c r="D123" s="562"/>
      <c r="E123" s="561"/>
      <c r="F123" s="562"/>
      <c r="G123" s="561"/>
      <c r="H123" s="562"/>
    </row>
  </sheetData>
  <mergeCells count="5">
    <mergeCell ref="A91:P91"/>
    <mergeCell ref="A56:P56"/>
    <mergeCell ref="A30:P30"/>
    <mergeCell ref="A1:P1"/>
    <mergeCell ref="A2:P2"/>
  </mergeCells>
  <phoneticPr fontId="15" type="noConversion"/>
  <printOptions horizontalCentered="1" verticalCentered="1"/>
  <pageMargins left="0.2" right="0.2" top="0.51" bottom="0.3" header="0" footer="0.15"/>
  <pageSetup scale="48" orientation="landscape" r:id="rId1"/>
  <headerFooter alignWithMargins="0">
    <oddFooter>&amp;RSource: Office of Institutional Research</oddFooter>
  </headerFooter>
  <rowBreaks count="1" manualBreakCount="1">
    <brk id="55" max="16383" man="1"/>
  </rowBreaks>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H17"/>
  <sheetViews>
    <sheetView workbookViewId="0"/>
  </sheetViews>
  <sheetFormatPr defaultRowHeight="13.2" x14ac:dyDescent="0.25"/>
  <cols>
    <col min="1" max="1" width="12.109375" customWidth="1"/>
    <col min="2" max="2" width="6" customWidth="1"/>
    <col min="3" max="3" width="14.6640625" bestFit="1" customWidth="1"/>
  </cols>
  <sheetData>
    <row r="3" spans="3:8" ht="17.399999999999999" x14ac:dyDescent="0.25">
      <c r="C3" s="1763" t="s">
        <v>624</v>
      </c>
      <c r="D3" s="1763"/>
      <c r="E3" s="1763"/>
      <c r="F3" s="1763"/>
      <c r="G3" s="1763"/>
    </row>
    <row r="4" spans="3:8" ht="19.8" thickBot="1" x14ac:dyDescent="0.3">
      <c r="C4" s="520"/>
      <c r="D4" s="520"/>
      <c r="E4" s="520"/>
      <c r="F4" s="520"/>
      <c r="G4" s="520"/>
    </row>
    <row r="5" spans="3:8" x14ac:dyDescent="0.25">
      <c r="C5" s="523" t="s">
        <v>15</v>
      </c>
      <c r="D5" s="524" t="s">
        <v>12</v>
      </c>
      <c r="E5" s="524" t="s">
        <v>13</v>
      </c>
      <c r="F5" s="525" t="s">
        <v>14</v>
      </c>
      <c r="G5" s="525" t="s">
        <v>833</v>
      </c>
    </row>
    <row r="6" spans="3:8" x14ac:dyDescent="0.25">
      <c r="C6" s="526" t="s">
        <v>596</v>
      </c>
      <c r="D6" s="522">
        <v>4</v>
      </c>
      <c r="E6" s="522">
        <v>6</v>
      </c>
      <c r="F6" s="529">
        <v>4</v>
      </c>
      <c r="G6" s="775">
        <f t="shared" ref="G6:G11" si="0">+F6+E6+D6</f>
        <v>14</v>
      </c>
    </row>
    <row r="7" spans="3:8" x14ac:dyDescent="0.25">
      <c r="C7" s="526" t="s">
        <v>1306</v>
      </c>
      <c r="D7" s="522">
        <v>7</v>
      </c>
      <c r="E7" s="522">
        <v>10</v>
      </c>
      <c r="F7" s="529">
        <v>12</v>
      </c>
      <c r="G7" s="775">
        <f t="shared" si="0"/>
        <v>29</v>
      </c>
    </row>
    <row r="8" spans="3:8" x14ac:dyDescent="0.25">
      <c r="C8" s="526" t="s">
        <v>1052</v>
      </c>
      <c r="D8" s="522">
        <v>11</v>
      </c>
      <c r="E8" s="522">
        <v>10</v>
      </c>
      <c r="F8" s="529">
        <v>16</v>
      </c>
      <c r="G8" s="775">
        <f t="shared" si="0"/>
        <v>37</v>
      </c>
    </row>
    <row r="9" spans="3:8" x14ac:dyDescent="0.25">
      <c r="C9" s="526" t="s">
        <v>274</v>
      </c>
      <c r="D9" s="522">
        <v>13</v>
      </c>
      <c r="E9" s="522">
        <v>14</v>
      </c>
      <c r="F9" s="529">
        <v>22</v>
      </c>
      <c r="G9" s="775">
        <f t="shared" si="0"/>
        <v>49</v>
      </c>
    </row>
    <row r="10" spans="3:8" x14ac:dyDescent="0.25">
      <c r="C10" s="526" t="s">
        <v>1261</v>
      </c>
      <c r="D10" s="522">
        <v>17</v>
      </c>
      <c r="E10" s="522">
        <v>17</v>
      </c>
      <c r="F10" s="529">
        <v>21</v>
      </c>
      <c r="G10" s="775">
        <f t="shared" si="0"/>
        <v>55</v>
      </c>
    </row>
    <row r="11" spans="3:8" x14ac:dyDescent="0.25">
      <c r="C11" s="526" t="s">
        <v>363</v>
      </c>
      <c r="D11" s="522">
        <v>21</v>
      </c>
      <c r="E11" s="522">
        <v>18</v>
      </c>
      <c r="F11" s="529">
        <v>27</v>
      </c>
      <c r="G11" s="775">
        <f t="shared" si="0"/>
        <v>66</v>
      </c>
    </row>
    <row r="12" spans="3:8" x14ac:dyDescent="0.25">
      <c r="C12" s="526" t="s">
        <v>583</v>
      </c>
      <c r="D12" s="522">
        <v>23</v>
      </c>
      <c r="E12" s="522">
        <v>29</v>
      </c>
      <c r="F12" s="529">
        <v>31</v>
      </c>
      <c r="G12" s="775">
        <f t="shared" ref="G12:G17" si="1">+F12+E12+D12</f>
        <v>83</v>
      </c>
    </row>
    <row r="13" spans="3:8" x14ac:dyDescent="0.25">
      <c r="C13" s="978" t="s">
        <v>1363</v>
      </c>
      <c r="D13" s="522">
        <v>30</v>
      </c>
      <c r="E13" s="522">
        <v>36</v>
      </c>
      <c r="F13" s="529">
        <v>55</v>
      </c>
      <c r="G13" s="775">
        <f t="shared" si="1"/>
        <v>121</v>
      </c>
      <c r="H13" s="1463"/>
    </row>
    <row r="14" spans="3:8" x14ac:dyDescent="0.25">
      <c r="C14" s="978" t="s">
        <v>1388</v>
      </c>
      <c r="D14" s="522">
        <v>35</v>
      </c>
      <c r="E14" s="522">
        <v>50</v>
      </c>
      <c r="F14" s="529">
        <v>67</v>
      </c>
      <c r="G14" s="775">
        <f t="shared" si="1"/>
        <v>152</v>
      </c>
      <c r="H14" s="1463"/>
    </row>
    <row r="15" spans="3:8" x14ac:dyDescent="0.25">
      <c r="C15" s="978" t="s">
        <v>1389</v>
      </c>
      <c r="D15" s="522">
        <v>40</v>
      </c>
      <c r="E15" s="522">
        <v>57</v>
      </c>
      <c r="F15" s="529">
        <v>76</v>
      </c>
      <c r="G15" s="775">
        <f t="shared" si="1"/>
        <v>173</v>
      </c>
      <c r="H15" s="1463"/>
    </row>
    <row r="16" spans="3:8" x14ac:dyDescent="0.25">
      <c r="C16" s="978" t="s">
        <v>1377</v>
      </c>
      <c r="D16" s="522">
        <v>45</v>
      </c>
      <c r="E16" s="522">
        <v>62</v>
      </c>
      <c r="F16" s="529">
        <v>105</v>
      </c>
      <c r="G16" s="775">
        <f t="shared" si="1"/>
        <v>212</v>
      </c>
      <c r="H16" s="1463"/>
    </row>
    <row r="17" spans="3:8" x14ac:dyDescent="0.25">
      <c r="C17" s="526" t="s">
        <v>1503</v>
      </c>
      <c r="D17" s="522">
        <v>43</v>
      </c>
      <c r="E17" s="522">
        <v>56</v>
      </c>
      <c r="F17" s="529">
        <v>102</v>
      </c>
      <c r="G17" s="775">
        <f t="shared" si="1"/>
        <v>201</v>
      </c>
      <c r="H17" s="1463"/>
    </row>
  </sheetData>
  <mergeCells count="1">
    <mergeCell ref="C3:G3"/>
  </mergeCells>
  <phoneticPr fontId="15" type="noConversion"/>
  <pageMargins left="0.75" right="0.75" top="1" bottom="1" header="0.5" footer="0.5"/>
  <pageSetup scale="85" orientation="portrait"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B1:S33"/>
  <sheetViews>
    <sheetView workbookViewId="0"/>
  </sheetViews>
  <sheetFormatPr defaultRowHeight="13.2" x14ac:dyDescent="0.25"/>
  <cols>
    <col min="2" max="2" width="9.33203125" customWidth="1"/>
    <col min="3" max="11" width="8.6640625" customWidth="1"/>
  </cols>
  <sheetData>
    <row r="1" spans="2:19" ht="19.2" x14ac:dyDescent="0.25">
      <c r="B1" s="1764" t="s">
        <v>1147</v>
      </c>
      <c r="C1" s="1764"/>
      <c r="D1" s="1764"/>
      <c r="E1" s="1764"/>
      <c r="F1" s="1764"/>
      <c r="G1" s="1764"/>
      <c r="H1" s="1764"/>
      <c r="I1" s="1764"/>
      <c r="J1" s="1764"/>
      <c r="K1" s="1764"/>
      <c r="L1" s="1764"/>
      <c r="M1" s="1764"/>
      <c r="N1" s="1764"/>
      <c r="O1" s="1764"/>
      <c r="P1" s="1764"/>
      <c r="Q1" s="1764"/>
      <c r="R1" s="1764"/>
      <c r="S1" s="1764"/>
    </row>
    <row r="3" spans="2:19" x14ac:dyDescent="0.25">
      <c r="B3" s="1765" t="s">
        <v>1148</v>
      </c>
      <c r="C3" s="1767" t="s">
        <v>1149</v>
      </c>
      <c r="D3" s="1768"/>
      <c r="E3" s="1769"/>
      <c r="F3" s="1767" t="s">
        <v>1150</v>
      </c>
      <c r="G3" s="1768"/>
      <c r="H3" s="1770"/>
      <c r="I3" s="1771" t="s">
        <v>1151</v>
      </c>
      <c r="J3" s="1768"/>
      <c r="K3" s="1770"/>
    </row>
    <row r="4" spans="2:19" ht="39.6" x14ac:dyDescent="0.25">
      <c r="B4" s="1766"/>
      <c r="C4" s="221" t="s">
        <v>932</v>
      </c>
      <c r="D4" s="221" t="s">
        <v>933</v>
      </c>
      <c r="E4" s="222" t="s">
        <v>1152</v>
      </c>
      <c r="F4" s="223" t="s">
        <v>932</v>
      </c>
      <c r="G4" s="221" t="s">
        <v>933</v>
      </c>
      <c r="H4" s="224" t="s">
        <v>1153</v>
      </c>
      <c r="I4" s="221" t="s">
        <v>932</v>
      </c>
      <c r="J4" s="221" t="s">
        <v>933</v>
      </c>
      <c r="K4" s="224" t="s">
        <v>1154</v>
      </c>
    </row>
    <row r="5" spans="2:19" ht="12.75" customHeight="1" x14ac:dyDescent="0.25">
      <c r="B5" s="467"/>
      <c r="C5" s="426"/>
      <c r="D5" s="426"/>
      <c r="E5" s="427"/>
      <c r="F5" s="426"/>
      <c r="G5" s="426"/>
      <c r="H5" s="427"/>
      <c r="I5" s="426"/>
      <c r="J5" s="426"/>
      <c r="K5" s="427"/>
    </row>
    <row r="6" spans="2:19" ht="12.75" customHeight="1" x14ac:dyDescent="0.25">
      <c r="B6" s="469">
        <v>2008</v>
      </c>
      <c r="C6" s="225">
        <v>22.5</v>
      </c>
      <c r="D6" s="225">
        <v>22.6</v>
      </c>
      <c r="E6" s="384">
        <v>22.6</v>
      </c>
      <c r="F6" s="225">
        <v>33.6</v>
      </c>
      <c r="G6" s="225">
        <v>33.299999999999997</v>
      </c>
      <c r="H6" s="384">
        <v>33.299999999999997</v>
      </c>
      <c r="I6" s="225">
        <v>22.5</v>
      </c>
      <c r="J6" s="225">
        <v>23</v>
      </c>
      <c r="K6" s="384">
        <v>22.9</v>
      </c>
    </row>
    <row r="7" spans="2:19" ht="12.75" customHeight="1" x14ac:dyDescent="0.25">
      <c r="B7" s="467"/>
      <c r="C7" s="426"/>
      <c r="D7" s="426"/>
      <c r="E7" s="427"/>
      <c r="F7" s="426"/>
      <c r="G7" s="426"/>
      <c r="H7" s="427"/>
      <c r="I7" s="426"/>
      <c r="J7" s="426"/>
      <c r="K7" s="427"/>
    </row>
    <row r="8" spans="2:19" ht="12.75" customHeight="1" x14ac:dyDescent="0.25">
      <c r="B8" s="469">
        <v>2009</v>
      </c>
      <c r="C8" s="225">
        <v>21.8</v>
      </c>
      <c r="D8" s="225">
        <v>21.7</v>
      </c>
      <c r="E8" s="384">
        <v>21.7</v>
      </c>
      <c r="F8" s="1352" t="s">
        <v>1045</v>
      </c>
      <c r="G8" s="225">
        <v>34.6</v>
      </c>
      <c r="H8" s="384">
        <v>34.6</v>
      </c>
      <c r="I8" s="225">
        <v>21.8</v>
      </c>
      <c r="J8" s="225">
        <v>22</v>
      </c>
      <c r="K8" s="384">
        <v>21.9</v>
      </c>
    </row>
    <row r="9" spans="2:19" ht="12.75" customHeight="1" x14ac:dyDescent="0.25">
      <c r="B9" s="467"/>
      <c r="C9" s="426"/>
      <c r="D9" s="426"/>
      <c r="E9" s="427"/>
      <c r="F9" s="426"/>
      <c r="G9" s="426"/>
      <c r="H9" s="427"/>
      <c r="I9" s="426"/>
      <c r="J9" s="426"/>
      <c r="K9" s="427"/>
    </row>
    <row r="10" spans="2:19" ht="12.75" customHeight="1" x14ac:dyDescent="0.25">
      <c r="B10" s="469">
        <v>2010</v>
      </c>
      <c r="C10" s="225">
        <v>21.6</v>
      </c>
      <c r="D10" s="225">
        <v>21.4</v>
      </c>
      <c r="E10" s="384">
        <v>21.4</v>
      </c>
      <c r="F10" s="225">
        <v>29.2</v>
      </c>
      <c r="G10" s="225">
        <v>32.5</v>
      </c>
      <c r="H10" s="384">
        <v>32.200000000000003</v>
      </c>
      <c r="I10" s="225">
        <v>21.7</v>
      </c>
      <c r="J10" s="225">
        <v>21.7</v>
      </c>
      <c r="K10" s="384">
        <v>21.7</v>
      </c>
    </row>
    <row r="11" spans="2:19" ht="12.75" customHeight="1" x14ac:dyDescent="0.25">
      <c r="B11" s="467"/>
      <c r="C11" s="426"/>
      <c r="D11" s="426"/>
      <c r="E11" s="427"/>
      <c r="F11" s="426"/>
      <c r="G11" s="426"/>
      <c r="H11" s="427"/>
      <c r="I11" s="426"/>
      <c r="J11" s="426"/>
      <c r="K11" s="427"/>
    </row>
    <row r="12" spans="2:19" ht="12.75" customHeight="1" x14ac:dyDescent="0.25">
      <c r="B12" s="469">
        <v>2011</v>
      </c>
      <c r="C12" s="225">
        <v>21.6</v>
      </c>
      <c r="D12" s="225">
        <v>21.4</v>
      </c>
      <c r="E12" s="384">
        <v>21.4</v>
      </c>
      <c r="F12" s="225">
        <v>29.2</v>
      </c>
      <c r="G12" s="225">
        <v>32.5</v>
      </c>
      <c r="H12" s="384">
        <v>32.200000000000003</v>
      </c>
      <c r="I12" s="225">
        <v>21.7</v>
      </c>
      <c r="J12" s="225">
        <v>21.7</v>
      </c>
      <c r="K12" s="384">
        <v>21.7</v>
      </c>
    </row>
    <row r="13" spans="2:19" ht="12.75" customHeight="1" x14ac:dyDescent="0.25">
      <c r="B13" s="467"/>
      <c r="C13" s="426"/>
      <c r="D13" s="426"/>
      <c r="E13" s="427"/>
      <c r="F13" s="426"/>
      <c r="G13" s="426"/>
      <c r="H13" s="427"/>
      <c r="I13" s="426"/>
      <c r="J13" s="426"/>
      <c r="K13" s="427"/>
    </row>
    <row r="14" spans="2:19" ht="12.75" customHeight="1" x14ac:dyDescent="0.25">
      <c r="B14" s="469">
        <v>2012</v>
      </c>
      <c r="C14" s="225">
        <v>21.9</v>
      </c>
      <c r="D14" s="225">
        <v>21.5</v>
      </c>
      <c r="E14" s="384">
        <v>21.6</v>
      </c>
      <c r="F14" s="225">
        <v>33.799999999999997</v>
      </c>
      <c r="G14" s="225">
        <v>35.6</v>
      </c>
      <c r="H14" s="384">
        <v>35.4</v>
      </c>
      <c r="I14" s="225">
        <v>22</v>
      </c>
      <c r="J14" s="225">
        <v>21.9</v>
      </c>
      <c r="K14" s="384">
        <v>22</v>
      </c>
    </row>
    <row r="19" spans="2:11" x14ac:dyDescent="0.25">
      <c r="B19" s="1765" t="s">
        <v>1155</v>
      </c>
      <c r="C19" s="1767" t="s">
        <v>1149</v>
      </c>
      <c r="D19" s="1768"/>
      <c r="E19" s="1769"/>
      <c r="F19" s="1767" t="s">
        <v>1150</v>
      </c>
      <c r="G19" s="1768"/>
      <c r="H19" s="1770"/>
      <c r="I19" s="1771" t="s">
        <v>1151</v>
      </c>
      <c r="J19" s="1768"/>
      <c r="K19" s="1770"/>
    </row>
    <row r="20" spans="2:11" ht="39.6" x14ac:dyDescent="0.25">
      <c r="B20" s="1766"/>
      <c r="C20" s="221" t="s">
        <v>932</v>
      </c>
      <c r="D20" s="221" t="s">
        <v>933</v>
      </c>
      <c r="E20" s="222" t="s">
        <v>1156</v>
      </c>
      <c r="F20" s="223" t="s">
        <v>932</v>
      </c>
      <c r="G20" s="221" t="s">
        <v>933</v>
      </c>
      <c r="H20" s="224" t="s">
        <v>1153</v>
      </c>
      <c r="I20" s="221" t="s">
        <v>932</v>
      </c>
      <c r="J20" s="221" t="s">
        <v>933</v>
      </c>
      <c r="K20" s="224" t="s">
        <v>1154</v>
      </c>
    </row>
    <row r="21" spans="2:11" x14ac:dyDescent="0.25">
      <c r="B21" s="467"/>
      <c r="C21" s="426"/>
      <c r="D21" s="426"/>
      <c r="E21" s="427"/>
      <c r="F21" s="426"/>
      <c r="G21" s="426"/>
      <c r="H21" s="427"/>
      <c r="I21" s="426"/>
      <c r="J21" s="426"/>
      <c r="K21" s="427"/>
    </row>
    <row r="22" spans="2:11" ht="12.75" customHeight="1" x14ac:dyDescent="0.25">
      <c r="B22" s="468">
        <v>2009</v>
      </c>
      <c r="C22" s="227">
        <v>22.5</v>
      </c>
      <c r="D22" s="225">
        <v>22.7</v>
      </c>
      <c r="E22" s="226">
        <v>22.6</v>
      </c>
      <c r="F22" s="227">
        <v>36.799999999999997</v>
      </c>
      <c r="G22" s="225">
        <v>34.799999999999997</v>
      </c>
      <c r="H22" s="226">
        <v>35.1</v>
      </c>
      <c r="I22" s="227">
        <v>22.7</v>
      </c>
      <c r="J22" s="225">
        <v>23.2</v>
      </c>
      <c r="K22" s="384">
        <v>23.1</v>
      </c>
    </row>
    <row r="23" spans="2:11" ht="12.75" customHeight="1" x14ac:dyDescent="0.25">
      <c r="B23" s="467"/>
      <c r="C23" s="426"/>
      <c r="D23" s="426"/>
      <c r="E23" s="427"/>
      <c r="F23" s="426"/>
      <c r="G23" s="426"/>
      <c r="H23" s="427"/>
      <c r="I23" s="426"/>
      <c r="J23" s="426"/>
      <c r="K23" s="427"/>
    </row>
    <row r="24" spans="2:11" ht="12.75" customHeight="1" x14ac:dyDescent="0.25">
      <c r="B24" s="468">
        <v>2010</v>
      </c>
      <c r="C24" s="227">
        <v>22.2</v>
      </c>
      <c r="D24" s="225">
        <v>22</v>
      </c>
      <c r="E24" s="226">
        <v>22.1</v>
      </c>
      <c r="F24" s="227">
        <v>40</v>
      </c>
      <c r="G24" s="225">
        <v>36.5</v>
      </c>
      <c r="H24" s="226">
        <v>36.5</v>
      </c>
      <c r="I24" s="227">
        <v>22.2</v>
      </c>
      <c r="J24" s="225">
        <v>22.6</v>
      </c>
      <c r="K24" s="384">
        <v>22.4</v>
      </c>
    </row>
    <row r="25" spans="2:11" ht="12.75" customHeight="1" x14ac:dyDescent="0.25">
      <c r="B25" s="467"/>
      <c r="C25" s="426"/>
      <c r="D25" s="426"/>
      <c r="E25" s="427"/>
      <c r="F25" s="426"/>
      <c r="G25" s="426"/>
      <c r="H25" s="427"/>
      <c r="I25" s="426"/>
      <c r="J25" s="426"/>
      <c r="K25" s="427"/>
    </row>
    <row r="26" spans="2:11" ht="12.75" customHeight="1" x14ac:dyDescent="0.25">
      <c r="B26" s="468">
        <v>2011</v>
      </c>
      <c r="C26" s="227">
        <v>21.9</v>
      </c>
      <c r="D26" s="225">
        <v>21.6</v>
      </c>
      <c r="E26" s="226">
        <v>21.7</v>
      </c>
      <c r="F26" s="227">
        <v>33.4</v>
      </c>
      <c r="G26" s="225">
        <v>34.299999999999997</v>
      </c>
      <c r="H26" s="226">
        <v>34.200000000000003</v>
      </c>
      <c r="I26" s="227">
        <v>22</v>
      </c>
      <c r="J26" s="225">
        <v>22.2</v>
      </c>
      <c r="K26" s="384">
        <v>22.1</v>
      </c>
    </row>
    <row r="27" spans="2:11" ht="12.75" customHeight="1" x14ac:dyDescent="0.25">
      <c r="B27" s="467"/>
      <c r="C27" s="426"/>
      <c r="D27" s="426"/>
      <c r="E27" s="427"/>
      <c r="F27" s="426"/>
      <c r="G27" s="426"/>
      <c r="H27" s="427"/>
      <c r="I27" s="426"/>
      <c r="J27" s="426"/>
      <c r="K27" s="427"/>
    </row>
    <row r="28" spans="2:11" ht="12.75" customHeight="1" x14ac:dyDescent="0.25">
      <c r="B28" s="468">
        <v>2012</v>
      </c>
      <c r="C28" s="227">
        <v>22.2</v>
      </c>
      <c r="D28" s="225">
        <v>21.8</v>
      </c>
      <c r="E28" s="226">
        <v>21.9</v>
      </c>
      <c r="F28" s="227">
        <v>47.2</v>
      </c>
      <c r="G28" s="225">
        <v>35.6</v>
      </c>
      <c r="H28" s="226">
        <v>36.299999999999997</v>
      </c>
      <c r="I28" s="227">
        <v>22.3</v>
      </c>
      <c r="J28" s="225">
        <v>22.4</v>
      </c>
      <c r="K28" s="384">
        <v>22.4</v>
      </c>
    </row>
    <row r="29" spans="2:11" ht="12.75" customHeight="1" x14ac:dyDescent="0.25">
      <c r="B29" s="467"/>
      <c r="C29" s="426"/>
      <c r="D29" s="426"/>
      <c r="E29" s="427"/>
      <c r="F29" s="426"/>
      <c r="G29" s="426"/>
      <c r="H29" s="427"/>
      <c r="I29" s="426"/>
      <c r="J29" s="426"/>
      <c r="K29" s="427"/>
    </row>
    <row r="30" spans="2:11" ht="12.75" customHeight="1" x14ac:dyDescent="0.25">
      <c r="B30" s="468">
        <v>2013</v>
      </c>
      <c r="C30" s="227">
        <v>22.1</v>
      </c>
      <c r="D30" s="225">
        <v>21.8</v>
      </c>
      <c r="E30" s="226">
        <v>21.9</v>
      </c>
      <c r="F30" s="227">
        <v>35.5</v>
      </c>
      <c r="G30" s="225">
        <v>35.6</v>
      </c>
      <c r="H30" s="226">
        <v>35.6</v>
      </c>
      <c r="I30" s="227">
        <v>22.4</v>
      </c>
      <c r="J30" s="225">
        <v>22.4</v>
      </c>
      <c r="K30" s="384">
        <v>22.4</v>
      </c>
    </row>
    <row r="31" spans="2:11" ht="12.75" customHeight="1" x14ac:dyDescent="0.25"/>
    <row r="33" spans="2:18" x14ac:dyDescent="0.25">
      <c r="B33" s="1772" t="s">
        <v>1157</v>
      </c>
      <c r="C33" s="1772"/>
      <c r="D33" s="1772"/>
      <c r="E33" s="1772"/>
      <c r="F33" s="1772"/>
      <c r="G33" s="1772"/>
      <c r="H33" s="1772"/>
      <c r="I33" s="1772"/>
      <c r="J33" s="1772"/>
      <c r="K33" s="1772"/>
      <c r="L33" s="1772"/>
      <c r="M33" s="1772"/>
      <c r="N33" s="1772"/>
      <c r="O33" s="1772"/>
      <c r="P33" s="1772"/>
      <c r="Q33" s="1772"/>
      <c r="R33" s="1772"/>
    </row>
  </sheetData>
  <mergeCells count="10">
    <mergeCell ref="B33:R33"/>
    <mergeCell ref="B19:B20"/>
    <mergeCell ref="C19:E19"/>
    <mergeCell ref="F19:H19"/>
    <mergeCell ref="I19:K19"/>
    <mergeCell ref="B1:S1"/>
    <mergeCell ref="B3:B4"/>
    <mergeCell ref="C3:E3"/>
    <mergeCell ref="F3:H3"/>
    <mergeCell ref="I3:K3"/>
  </mergeCells>
  <phoneticPr fontId="15" type="noConversion"/>
  <printOptions horizontalCentered="1" verticalCentered="1"/>
  <pageMargins left="0.5" right="0.5" top="1" bottom="1" header="0.5" footer="0.5"/>
  <pageSetup scale="75" orientation="landscape" r:id="rId1"/>
  <headerFooter alignWithMargins="0">
    <oddFooter>&amp;RSource: Office of Institutional Research</oddFooter>
  </headerFooter>
  <drawing r:id="rId2"/>
  <webPublishItems count="1">
    <webPublishItem id="6093" divId="2001_2002 FACT BOOK FINAL COPY_6093" sourceType="sheet" destinationFile="C:\Documents and Settings\mkirkpatrick\My Documents\2004-2005 FACT BOOK\2004-2005 fact book WEB PAGES\04-05averageageUPDATEDFORFALL2004ANDSPRING2005.htm"/>
  </webPublishItem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F16"/>
  <sheetViews>
    <sheetView workbookViewId="0"/>
  </sheetViews>
  <sheetFormatPr defaultRowHeight="13.2" x14ac:dyDescent="0.25"/>
  <cols>
    <col min="1" max="1" width="18.44140625" customWidth="1"/>
    <col min="2" max="5" width="12.6640625" customWidth="1"/>
  </cols>
  <sheetData>
    <row r="1" spans="1:6" x14ac:dyDescent="0.25">
      <c r="A1" s="521"/>
      <c r="B1" s="521"/>
      <c r="C1" s="521"/>
      <c r="D1" s="521"/>
      <c r="E1" s="521"/>
      <c r="F1" s="368"/>
    </row>
    <row r="2" spans="1:6" ht="19.2" x14ac:dyDescent="0.25">
      <c r="A2" s="1773" t="s">
        <v>1525</v>
      </c>
      <c r="B2" s="1773"/>
      <c r="C2" s="1773"/>
      <c r="D2" s="1773"/>
      <c r="E2" s="1773"/>
      <c r="F2" s="368"/>
    </row>
    <row r="3" spans="1:6" ht="12.75" customHeight="1" thickBot="1" x14ac:dyDescent="0.3">
      <c r="A3" s="520"/>
      <c r="B3" s="520"/>
      <c r="C3" s="520"/>
      <c r="D3" s="520"/>
      <c r="E3" s="520"/>
      <c r="F3" s="368"/>
    </row>
    <row r="4" spans="1:6" x14ac:dyDescent="0.25">
      <c r="A4" s="523" t="s">
        <v>835</v>
      </c>
      <c r="B4" s="524" t="s">
        <v>932</v>
      </c>
      <c r="C4" s="524" t="s">
        <v>933</v>
      </c>
      <c r="D4" s="525" t="s">
        <v>833</v>
      </c>
      <c r="E4" s="527" t="s">
        <v>834</v>
      </c>
      <c r="F4" s="368"/>
    </row>
    <row r="5" spans="1:6" x14ac:dyDescent="0.25">
      <c r="A5" s="526" t="s">
        <v>821</v>
      </c>
      <c r="B5" s="981">
        <v>1</v>
      </c>
      <c r="C5" s="981">
        <v>17</v>
      </c>
      <c r="D5" s="529">
        <f t="shared" ref="D5:D14" si="0">+C5+B5</f>
        <v>18</v>
      </c>
      <c r="E5" s="528">
        <f>+D5/$D$15</f>
        <v>5.9035749426041327E-3</v>
      </c>
      <c r="F5" s="368"/>
    </row>
    <row r="6" spans="1:6" x14ac:dyDescent="0.25">
      <c r="A6" s="526" t="s">
        <v>822</v>
      </c>
      <c r="B6" s="981">
        <v>201</v>
      </c>
      <c r="C6" s="981">
        <v>616</v>
      </c>
      <c r="D6" s="529">
        <f t="shared" si="0"/>
        <v>817</v>
      </c>
      <c r="E6" s="528">
        <f t="shared" ref="E6:E14" si="1">+D6/$D$15</f>
        <v>0.26795670711708758</v>
      </c>
      <c r="F6" s="368"/>
    </row>
    <row r="7" spans="1:6" x14ac:dyDescent="0.25">
      <c r="A7" s="526" t="s">
        <v>823</v>
      </c>
      <c r="B7" s="981">
        <v>341</v>
      </c>
      <c r="C7" s="981">
        <v>780</v>
      </c>
      <c r="D7" s="529">
        <f t="shared" si="0"/>
        <v>1121</v>
      </c>
      <c r="E7" s="528">
        <f t="shared" si="1"/>
        <v>0.36766152836995736</v>
      </c>
      <c r="F7" s="368"/>
    </row>
    <row r="8" spans="1:6" x14ac:dyDescent="0.25">
      <c r="A8" s="526" t="s">
        <v>824</v>
      </c>
      <c r="B8" s="981">
        <v>270</v>
      </c>
      <c r="C8" s="981">
        <v>485</v>
      </c>
      <c r="D8" s="529">
        <f t="shared" si="0"/>
        <v>755</v>
      </c>
      <c r="E8" s="528">
        <f t="shared" si="1"/>
        <v>0.24762217120367333</v>
      </c>
      <c r="F8" s="368"/>
    </row>
    <row r="9" spans="1:6" x14ac:dyDescent="0.25">
      <c r="A9" s="526" t="s">
        <v>826</v>
      </c>
      <c r="B9" s="981">
        <v>72</v>
      </c>
      <c r="C9" s="981">
        <v>109</v>
      </c>
      <c r="D9" s="529">
        <f t="shared" si="0"/>
        <v>181</v>
      </c>
      <c r="E9" s="528">
        <f t="shared" si="1"/>
        <v>5.9363725811741555E-2</v>
      </c>
      <c r="F9" s="368"/>
    </row>
    <row r="10" spans="1:6" x14ac:dyDescent="0.25">
      <c r="A10" s="526" t="s">
        <v>827</v>
      </c>
      <c r="B10" s="981">
        <v>18</v>
      </c>
      <c r="C10" s="981">
        <v>30</v>
      </c>
      <c r="D10" s="529">
        <f t="shared" si="0"/>
        <v>48</v>
      </c>
      <c r="E10" s="528">
        <f t="shared" si="1"/>
        <v>1.5742866513611019E-2</v>
      </c>
      <c r="F10" s="368"/>
    </row>
    <row r="11" spans="1:6" x14ac:dyDescent="0.25">
      <c r="A11" s="526" t="s">
        <v>828</v>
      </c>
      <c r="B11" s="981">
        <v>9</v>
      </c>
      <c r="C11" s="981">
        <v>33</v>
      </c>
      <c r="D11" s="529">
        <f t="shared" si="0"/>
        <v>42</v>
      </c>
      <c r="E11" s="528">
        <f t="shared" si="1"/>
        <v>1.3775008199409643E-2</v>
      </c>
      <c r="F11" s="368"/>
    </row>
    <row r="12" spans="1:6" x14ac:dyDescent="0.25">
      <c r="A12" s="526" t="s">
        <v>829</v>
      </c>
      <c r="B12" s="981">
        <v>7</v>
      </c>
      <c r="C12" s="981">
        <v>27</v>
      </c>
      <c r="D12" s="529">
        <f t="shared" si="0"/>
        <v>34</v>
      </c>
      <c r="E12" s="528">
        <f t="shared" si="1"/>
        <v>1.1151197113807805E-2</v>
      </c>
      <c r="F12" s="368"/>
    </row>
    <row r="13" spans="1:6" x14ac:dyDescent="0.25">
      <c r="A13" s="526" t="s">
        <v>830</v>
      </c>
      <c r="B13" s="981">
        <v>3</v>
      </c>
      <c r="C13" s="981">
        <v>26</v>
      </c>
      <c r="D13" s="529">
        <f t="shared" si="0"/>
        <v>29</v>
      </c>
      <c r="E13" s="528">
        <f t="shared" si="1"/>
        <v>9.5113151853066583E-3</v>
      </c>
      <c r="F13" s="368"/>
    </row>
    <row r="14" spans="1:6" x14ac:dyDescent="0.25">
      <c r="A14" s="526" t="s">
        <v>831</v>
      </c>
      <c r="B14" s="981">
        <v>2</v>
      </c>
      <c r="C14" s="981">
        <v>2</v>
      </c>
      <c r="D14" s="529">
        <f t="shared" si="0"/>
        <v>4</v>
      </c>
      <c r="E14" s="528">
        <f t="shared" si="1"/>
        <v>1.3119055428009183E-3</v>
      </c>
      <c r="F14" s="532"/>
    </row>
    <row r="15" spans="1:6" ht="13.8" thickBot="1" x14ac:dyDescent="0.3">
      <c r="A15" s="530" t="s">
        <v>832</v>
      </c>
      <c r="B15" s="531">
        <f>SUM(B5:B14)</f>
        <v>924</v>
      </c>
      <c r="C15" s="531">
        <f>SUM(C5:C14)</f>
        <v>2125</v>
      </c>
      <c r="D15" s="533">
        <f>SUM(D5:D14)</f>
        <v>3049</v>
      </c>
      <c r="E15" s="534">
        <f>SUM(E5:E14)</f>
        <v>1.0000000000000002</v>
      </c>
      <c r="F15" s="532"/>
    </row>
    <row r="16" spans="1:6" x14ac:dyDescent="0.25">
      <c r="A16" s="368"/>
      <c r="B16" s="368"/>
      <c r="C16" s="368"/>
      <c r="D16" s="368"/>
      <c r="E16" s="368"/>
      <c r="F16" s="368"/>
    </row>
  </sheetData>
  <mergeCells count="1">
    <mergeCell ref="A2:E2"/>
  </mergeCells>
  <phoneticPr fontId="15" type="noConversion"/>
  <printOptions horizontalCentered="1" verticalCentered="1"/>
  <pageMargins left="0.25" right="0.25" top="0.25" bottom="0.25" header="0.3" footer="0.3"/>
  <pageSetup orientation="portrait" r:id="rId1"/>
  <headerFooter alignWithMargins="0">
    <oddFooter>&amp;L&amp;7Source: Office of Institutional Research</oddFooter>
  </headerFooter>
  <drawing r:id="rId2"/>
  <webPublishItems count="1">
    <webPublishItem id="21725" divId="2003_2004 FACT BOOK WORKING COPY_21725" sourceType="sheet" destinationFile="C:\Documents and Settings\mkirkpatrick\My Documents\2004-2005 FACT BOOK\2004-2005 fact book WEB PAGES\04_05fallenrollmentbyageandgender.htm"/>
  </webPublishItem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pageSetUpPr fitToPage="1"/>
  </sheetPr>
  <dimension ref="A2:P37"/>
  <sheetViews>
    <sheetView workbookViewId="0"/>
  </sheetViews>
  <sheetFormatPr defaultColWidth="7.88671875" defaultRowHeight="13.2" x14ac:dyDescent="0.25"/>
  <cols>
    <col min="1" max="10" width="9" style="228" customWidth="1"/>
    <col min="11" max="16384" width="7.88671875" style="228"/>
  </cols>
  <sheetData>
    <row r="2" spans="1:16" ht="19.2" x14ac:dyDescent="0.25">
      <c r="A2" s="1774" t="s">
        <v>1158</v>
      </c>
      <c r="B2" s="1774"/>
      <c r="C2" s="1774"/>
      <c r="D2" s="1774"/>
      <c r="E2" s="1774"/>
      <c r="F2" s="1774"/>
      <c r="G2" s="1774"/>
      <c r="H2" s="1774"/>
      <c r="I2" s="1774"/>
      <c r="J2" s="1774"/>
      <c r="K2" s="229"/>
      <c r="L2" s="229"/>
      <c r="M2" s="230"/>
      <c r="N2" s="230"/>
      <c r="O2" s="230"/>
      <c r="P2" s="230"/>
    </row>
    <row r="3" spans="1:16" x14ac:dyDescent="0.25">
      <c r="A3" s="229"/>
      <c r="B3" s="229"/>
      <c r="C3" s="229"/>
      <c r="D3" s="229"/>
      <c r="E3" s="229"/>
      <c r="F3" s="229"/>
      <c r="G3" s="229"/>
      <c r="H3" s="229"/>
      <c r="I3" s="229"/>
      <c r="J3" s="229"/>
      <c r="K3" s="229"/>
      <c r="L3" s="229"/>
      <c r="M3" s="229"/>
      <c r="N3" s="229"/>
      <c r="O3" s="229"/>
      <c r="P3" s="229"/>
    </row>
    <row r="4" spans="1:16" x14ac:dyDescent="0.25">
      <c r="A4" s="231"/>
      <c r="B4" s="232" t="s">
        <v>773</v>
      </c>
      <c r="C4" s="232"/>
      <c r="D4" s="233"/>
      <c r="E4" s="232" t="s">
        <v>775</v>
      </c>
      <c r="F4" s="232"/>
      <c r="G4" s="234"/>
      <c r="H4" s="232" t="s">
        <v>780</v>
      </c>
      <c r="I4" s="232"/>
      <c r="J4" s="233"/>
      <c r="K4" s="229"/>
      <c r="L4" s="229"/>
      <c r="M4" s="235"/>
      <c r="N4" s="236"/>
      <c r="O4" s="236"/>
      <c r="P4" s="236"/>
    </row>
    <row r="5" spans="1:16" ht="39.75" customHeight="1" x14ac:dyDescent="0.25">
      <c r="A5" s="237" t="s">
        <v>794</v>
      </c>
      <c r="B5" s="238" t="s">
        <v>932</v>
      </c>
      <c r="C5" s="238" t="s">
        <v>584</v>
      </c>
      <c r="D5" s="239" t="s">
        <v>1159</v>
      </c>
      <c r="E5" s="238" t="s">
        <v>933</v>
      </c>
      <c r="F5" s="238" t="s">
        <v>1160</v>
      </c>
      <c r="G5" s="239" t="s">
        <v>1159</v>
      </c>
      <c r="H5" s="238" t="s">
        <v>1161</v>
      </c>
      <c r="I5" s="238" t="s">
        <v>1162</v>
      </c>
      <c r="J5" s="239" t="s">
        <v>1159</v>
      </c>
      <c r="K5" s="229"/>
      <c r="L5" s="229"/>
      <c r="M5" s="237"/>
      <c r="N5" s="238" t="s">
        <v>1163</v>
      </c>
      <c r="O5" s="238" t="s">
        <v>1164</v>
      </c>
      <c r="P5" s="238" t="s">
        <v>1165</v>
      </c>
    </row>
    <row r="6" spans="1:16" x14ac:dyDescent="0.25">
      <c r="A6" s="428"/>
      <c r="B6" s="429"/>
      <c r="C6" s="429"/>
      <c r="D6" s="430"/>
      <c r="E6" s="429"/>
      <c r="F6" s="429"/>
      <c r="G6" s="430"/>
      <c r="H6" s="429"/>
      <c r="I6" s="429"/>
      <c r="J6" s="430"/>
      <c r="K6" s="229"/>
      <c r="L6" s="229"/>
      <c r="M6" s="240"/>
      <c r="N6" s="241"/>
      <c r="O6" s="241"/>
      <c r="P6" s="241"/>
    </row>
    <row r="7" spans="1:16" x14ac:dyDescent="0.25">
      <c r="A7" s="242">
        <v>2008</v>
      </c>
      <c r="B7" s="243">
        <v>187</v>
      </c>
      <c r="C7" s="243">
        <v>886</v>
      </c>
      <c r="D7" s="244">
        <f>B7/C7</f>
        <v>0.2110609480812641</v>
      </c>
      <c r="E7" s="243">
        <v>491</v>
      </c>
      <c r="F7" s="243">
        <v>1728</v>
      </c>
      <c r="G7" s="244">
        <f>E7/F7</f>
        <v>0.28414351851851855</v>
      </c>
      <c r="H7" s="243">
        <f>B7+E7</f>
        <v>678</v>
      </c>
      <c r="I7" s="243">
        <f>C7+F7</f>
        <v>2614</v>
      </c>
      <c r="J7" s="244">
        <f>H7/I7</f>
        <v>0.25937260902830911</v>
      </c>
      <c r="K7" s="229"/>
      <c r="L7" s="229"/>
      <c r="M7" s="245">
        <f>A7</f>
        <v>2008</v>
      </c>
      <c r="N7" s="246">
        <f>B7</f>
        <v>187</v>
      </c>
      <c r="O7" s="246">
        <f>E7</f>
        <v>491</v>
      </c>
      <c r="P7" s="246">
        <f>H7</f>
        <v>678</v>
      </c>
    </row>
    <row r="8" spans="1:16" x14ac:dyDescent="0.25">
      <c r="A8" s="428"/>
      <c r="B8" s="429"/>
      <c r="C8" s="429"/>
      <c r="D8" s="430"/>
      <c r="E8" s="429"/>
      <c r="F8" s="429"/>
      <c r="G8" s="430"/>
      <c r="H8" s="429"/>
      <c r="I8" s="429"/>
      <c r="J8" s="430"/>
      <c r="K8" s="229"/>
      <c r="L8" s="229"/>
      <c r="M8" s="240"/>
      <c r="N8" s="241"/>
      <c r="O8" s="241"/>
      <c r="P8" s="241"/>
    </row>
    <row r="9" spans="1:16" x14ac:dyDescent="0.25">
      <c r="A9" s="242">
        <v>2009</v>
      </c>
      <c r="B9" s="243">
        <v>230</v>
      </c>
      <c r="C9" s="243">
        <v>939</v>
      </c>
      <c r="D9" s="244">
        <f>B9/C9</f>
        <v>0.24494142705005326</v>
      </c>
      <c r="E9" s="243">
        <v>643</v>
      </c>
      <c r="F9" s="243">
        <v>1899</v>
      </c>
      <c r="G9" s="244">
        <f>E9/F9</f>
        <v>0.33859926276987889</v>
      </c>
      <c r="H9" s="243">
        <f>B9+E9</f>
        <v>873</v>
      </c>
      <c r="I9" s="243">
        <f>C9+F9</f>
        <v>2838</v>
      </c>
      <c r="J9" s="244">
        <f>H9/I9</f>
        <v>0.30761099365750527</v>
      </c>
      <c r="K9" s="229"/>
      <c r="L9" s="229"/>
      <c r="M9" s="245">
        <f>A9</f>
        <v>2009</v>
      </c>
      <c r="N9" s="246">
        <f>B9</f>
        <v>230</v>
      </c>
      <c r="O9" s="246">
        <f>E9</f>
        <v>643</v>
      </c>
      <c r="P9" s="246">
        <f>H9</f>
        <v>873</v>
      </c>
    </row>
    <row r="10" spans="1:16" x14ac:dyDescent="0.25">
      <c r="A10" s="428"/>
      <c r="B10" s="429"/>
      <c r="C10" s="429"/>
      <c r="D10" s="430"/>
      <c r="E10" s="429"/>
      <c r="F10" s="429"/>
      <c r="G10" s="430"/>
      <c r="H10" s="429"/>
      <c r="I10" s="429"/>
      <c r="J10" s="430"/>
      <c r="K10" s="229"/>
      <c r="L10" s="229"/>
      <c r="M10" s="240"/>
      <c r="N10" s="241"/>
      <c r="O10" s="241"/>
      <c r="P10" s="241"/>
    </row>
    <row r="11" spans="1:16" x14ac:dyDescent="0.25">
      <c r="A11" s="242">
        <v>2010</v>
      </c>
      <c r="B11" s="243">
        <v>246</v>
      </c>
      <c r="C11" s="243">
        <v>997</v>
      </c>
      <c r="D11" s="244">
        <f>B11/C11</f>
        <v>0.24674022066198595</v>
      </c>
      <c r="E11" s="243">
        <v>696</v>
      </c>
      <c r="F11" s="243">
        <v>2063</v>
      </c>
      <c r="G11" s="244">
        <f>E11/F11</f>
        <v>0.33737275811924383</v>
      </c>
      <c r="H11" s="243">
        <f>B11+E11</f>
        <v>942</v>
      </c>
      <c r="I11" s="243">
        <f>C11+F11</f>
        <v>3060</v>
      </c>
      <c r="J11" s="244">
        <f>H11/I11</f>
        <v>0.30784313725490198</v>
      </c>
      <c r="K11" s="229"/>
      <c r="L11" s="229"/>
      <c r="M11" s="245">
        <f>A11</f>
        <v>2010</v>
      </c>
      <c r="N11" s="246">
        <f>B11</f>
        <v>246</v>
      </c>
      <c r="O11" s="246">
        <f>E11</f>
        <v>696</v>
      </c>
      <c r="P11" s="246">
        <f>H11</f>
        <v>942</v>
      </c>
    </row>
    <row r="12" spans="1:16" x14ac:dyDescent="0.25">
      <c r="A12" s="428"/>
      <c r="B12" s="429"/>
      <c r="C12" s="429"/>
      <c r="D12" s="430"/>
      <c r="E12" s="429"/>
      <c r="F12" s="429"/>
      <c r="G12" s="430"/>
      <c r="H12" s="429"/>
      <c r="I12" s="429"/>
      <c r="J12" s="430"/>
      <c r="K12" s="229"/>
      <c r="L12" s="229"/>
      <c r="M12" s="240"/>
      <c r="N12" s="241"/>
      <c r="O12" s="241"/>
      <c r="P12" s="241"/>
    </row>
    <row r="13" spans="1:16" x14ac:dyDescent="0.25">
      <c r="A13" s="242">
        <v>2011</v>
      </c>
      <c r="B13" s="243">
        <v>243</v>
      </c>
      <c r="C13" s="243">
        <v>957</v>
      </c>
      <c r="D13" s="244">
        <f>B13/C13</f>
        <v>0.25391849529780564</v>
      </c>
      <c r="E13" s="243">
        <v>799</v>
      </c>
      <c r="F13" s="243">
        <v>2112</v>
      </c>
      <c r="G13" s="244">
        <f>E13/F13</f>
        <v>0.37831439393939392</v>
      </c>
      <c r="H13" s="243">
        <f>B13+E13</f>
        <v>1042</v>
      </c>
      <c r="I13" s="243">
        <f>C13+F13</f>
        <v>3069</v>
      </c>
      <c r="J13" s="244">
        <f>H13/I13</f>
        <v>0.33952427500814597</v>
      </c>
      <c r="K13" s="229"/>
      <c r="L13" s="229"/>
      <c r="M13" s="245">
        <f>A13</f>
        <v>2011</v>
      </c>
      <c r="N13" s="246">
        <f>B13</f>
        <v>243</v>
      </c>
      <c r="O13" s="246">
        <f>E13</f>
        <v>799</v>
      </c>
      <c r="P13" s="246">
        <f>H13</f>
        <v>1042</v>
      </c>
    </row>
    <row r="14" spans="1:16" x14ac:dyDescent="0.25">
      <c r="A14" s="428"/>
      <c r="B14" s="429"/>
      <c r="C14" s="429"/>
      <c r="D14" s="430"/>
      <c r="E14" s="429"/>
      <c r="F14" s="429"/>
      <c r="G14" s="430"/>
      <c r="H14" s="429"/>
      <c r="I14" s="429"/>
      <c r="J14" s="430"/>
      <c r="K14" s="229"/>
      <c r="L14" s="229"/>
      <c r="M14" s="240"/>
      <c r="N14" s="241"/>
      <c r="O14" s="241"/>
      <c r="P14" s="241"/>
    </row>
    <row r="15" spans="1:16" x14ac:dyDescent="0.25">
      <c r="A15" s="242">
        <v>2012</v>
      </c>
      <c r="B15" s="243">
        <v>230</v>
      </c>
      <c r="C15" s="243">
        <v>925</v>
      </c>
      <c r="D15" s="244">
        <f>B15/C15</f>
        <v>0.24864864864864866</v>
      </c>
      <c r="E15" s="243">
        <v>765</v>
      </c>
      <c r="F15" s="243">
        <v>2124</v>
      </c>
      <c r="G15" s="244">
        <f>E15/F15</f>
        <v>0.36016949152542371</v>
      </c>
      <c r="H15" s="243">
        <f>B15+E15</f>
        <v>995</v>
      </c>
      <c r="I15" s="243">
        <f>C15+F15</f>
        <v>3049</v>
      </c>
      <c r="J15" s="244">
        <f>H15/I15</f>
        <v>0.32633650377172846</v>
      </c>
      <c r="K15" s="229"/>
      <c r="L15" s="229"/>
      <c r="M15" s="242">
        <f>A15</f>
        <v>2012</v>
      </c>
      <c r="N15" s="243">
        <f>B15</f>
        <v>230</v>
      </c>
      <c r="O15" s="243">
        <f>E15</f>
        <v>765</v>
      </c>
      <c r="P15" s="243">
        <f>H15</f>
        <v>995</v>
      </c>
    </row>
    <row r="16" spans="1:16" x14ac:dyDescent="0.25">
      <c r="A16" s="229"/>
      <c r="B16" s="229"/>
      <c r="C16" s="229"/>
      <c r="D16" s="229"/>
      <c r="E16" s="229"/>
      <c r="F16" s="229"/>
      <c r="G16" s="229"/>
      <c r="H16" s="229"/>
      <c r="I16" s="229"/>
      <c r="J16" s="229"/>
      <c r="K16" s="229"/>
      <c r="L16" s="229"/>
      <c r="M16" s="229"/>
      <c r="N16" s="229"/>
      <c r="O16" s="229"/>
      <c r="P16" s="229"/>
    </row>
    <row r="17" spans="1:16" x14ac:dyDescent="0.25">
      <c r="B17" s="229"/>
      <c r="C17" s="229"/>
      <c r="D17" s="229"/>
      <c r="E17" s="229"/>
      <c r="F17" s="229"/>
      <c r="G17" s="229"/>
      <c r="H17" s="229"/>
      <c r="I17" s="229"/>
      <c r="J17" s="229"/>
      <c r="K17" s="229"/>
      <c r="L17" s="229"/>
      <c r="M17" s="247"/>
      <c r="N17" s="247"/>
      <c r="O17" s="247"/>
      <c r="P17" s="247"/>
    </row>
    <row r="18" spans="1:16" x14ac:dyDescent="0.25">
      <c r="A18" s="229"/>
      <c r="B18" s="229"/>
      <c r="C18" s="229"/>
      <c r="D18" s="229"/>
      <c r="E18" s="229"/>
      <c r="F18" s="229"/>
      <c r="G18" s="229"/>
      <c r="H18" s="229"/>
      <c r="I18" s="229"/>
      <c r="J18" s="229"/>
      <c r="K18" s="229"/>
      <c r="L18" s="229"/>
      <c r="M18" s="229"/>
      <c r="N18" s="229"/>
      <c r="O18" s="229"/>
      <c r="P18" s="229"/>
    </row>
    <row r="19" spans="1:16" x14ac:dyDescent="0.25">
      <c r="A19" s="229"/>
      <c r="B19" s="229"/>
      <c r="C19" s="229"/>
      <c r="D19" s="229"/>
      <c r="E19" s="229"/>
      <c r="F19" s="229"/>
      <c r="G19" s="229"/>
      <c r="H19" s="229"/>
      <c r="I19" s="229"/>
      <c r="J19" s="229"/>
      <c r="K19" s="229"/>
      <c r="L19" s="229"/>
      <c r="M19" s="229"/>
      <c r="N19" s="229"/>
      <c r="O19" s="229"/>
      <c r="P19" s="229"/>
    </row>
    <row r="20" spans="1:16" x14ac:dyDescent="0.25">
      <c r="A20" s="229"/>
      <c r="B20" s="229"/>
      <c r="C20" s="229"/>
      <c r="D20" s="229"/>
      <c r="E20" s="229"/>
      <c r="F20" s="229"/>
      <c r="G20" s="229"/>
      <c r="H20" s="229"/>
      <c r="I20" s="229"/>
      <c r="J20" s="229"/>
      <c r="K20" s="229"/>
      <c r="L20" s="229"/>
      <c r="M20" s="229"/>
      <c r="N20" s="229"/>
      <c r="O20" s="229"/>
      <c r="P20" s="229"/>
    </row>
    <row r="21" spans="1:16" x14ac:dyDescent="0.25">
      <c r="A21" s="229"/>
      <c r="B21" s="229"/>
      <c r="C21" s="229"/>
      <c r="D21" s="229"/>
      <c r="E21" s="229"/>
      <c r="F21" s="229"/>
      <c r="G21" s="229"/>
      <c r="H21" s="229"/>
      <c r="I21" s="229"/>
      <c r="J21" s="229"/>
      <c r="K21" s="229"/>
      <c r="L21" s="229"/>
      <c r="M21" s="229"/>
      <c r="N21" s="229"/>
      <c r="O21" s="229"/>
      <c r="P21" s="229"/>
    </row>
    <row r="22" spans="1:16" x14ac:dyDescent="0.25">
      <c r="A22" s="229"/>
      <c r="B22" s="229"/>
      <c r="C22" s="229"/>
      <c r="D22" s="229"/>
      <c r="E22" s="229"/>
      <c r="F22" s="229"/>
      <c r="G22" s="229"/>
      <c r="H22" s="229"/>
      <c r="I22" s="229"/>
      <c r="J22" s="229"/>
      <c r="K22" s="229"/>
      <c r="L22" s="229"/>
      <c r="M22" s="229"/>
      <c r="N22" s="229"/>
      <c r="O22" s="229"/>
      <c r="P22" s="229"/>
    </row>
    <row r="23" spans="1:16" x14ac:dyDescent="0.25">
      <c r="A23" s="229"/>
      <c r="B23" s="229"/>
      <c r="C23" s="229"/>
      <c r="D23" s="229"/>
      <c r="E23" s="229"/>
      <c r="F23" s="229"/>
      <c r="G23" s="229"/>
      <c r="H23" s="229"/>
      <c r="I23" s="229"/>
      <c r="J23" s="229"/>
      <c r="K23" s="229"/>
      <c r="L23" s="229"/>
      <c r="M23" s="229"/>
      <c r="N23" s="229"/>
      <c r="O23" s="229"/>
      <c r="P23" s="229"/>
    </row>
    <row r="24" spans="1:16" x14ac:dyDescent="0.25">
      <c r="A24" s="229"/>
      <c r="B24" s="229"/>
      <c r="C24" s="229"/>
      <c r="D24" s="229"/>
      <c r="E24" s="229"/>
      <c r="F24" s="229"/>
      <c r="G24" s="229"/>
      <c r="H24" s="229"/>
      <c r="I24" s="229"/>
      <c r="J24" s="229"/>
      <c r="K24" s="229"/>
      <c r="L24" s="229"/>
      <c r="M24" s="229"/>
      <c r="N24" s="229"/>
      <c r="O24" s="229"/>
      <c r="P24" s="229"/>
    </row>
    <row r="25" spans="1:16" x14ac:dyDescent="0.25">
      <c r="A25" s="229"/>
      <c r="B25" s="229"/>
      <c r="C25" s="229"/>
      <c r="D25" s="229"/>
      <c r="E25" s="229"/>
      <c r="F25" s="229"/>
      <c r="G25" s="229"/>
      <c r="H25" s="229"/>
      <c r="I25" s="229"/>
      <c r="J25" s="229"/>
      <c r="K25" s="229"/>
      <c r="L25" s="229"/>
      <c r="M25" s="229"/>
      <c r="N25" s="229"/>
      <c r="O25" s="229"/>
      <c r="P25" s="229"/>
    </row>
    <row r="26" spans="1:16" x14ac:dyDescent="0.25">
      <c r="A26" s="229"/>
      <c r="B26" s="229"/>
      <c r="C26" s="229"/>
      <c r="D26" s="229"/>
      <c r="E26" s="229"/>
      <c r="F26" s="229"/>
      <c r="G26" s="229"/>
      <c r="H26" s="229"/>
      <c r="I26" s="229"/>
      <c r="J26" s="229"/>
      <c r="K26" s="229"/>
      <c r="L26" s="229"/>
      <c r="M26" s="229"/>
      <c r="N26" s="229"/>
      <c r="O26" s="229"/>
      <c r="P26" s="229"/>
    </row>
    <row r="27" spans="1:16" x14ac:dyDescent="0.25">
      <c r="A27" s="229"/>
      <c r="B27" s="229"/>
      <c r="C27" s="229"/>
      <c r="D27" s="229"/>
      <c r="E27" s="229"/>
      <c r="F27" s="229"/>
      <c r="G27" s="229"/>
      <c r="H27" s="229"/>
      <c r="I27" s="229"/>
      <c r="J27" s="229"/>
      <c r="K27" s="229"/>
      <c r="L27" s="229"/>
      <c r="M27" s="229"/>
      <c r="N27" s="229"/>
      <c r="O27" s="229"/>
      <c r="P27" s="229"/>
    </row>
    <row r="28" spans="1:16" x14ac:dyDescent="0.25">
      <c r="A28" s="229"/>
      <c r="B28" s="229"/>
      <c r="C28" s="229"/>
      <c r="D28" s="229"/>
      <c r="E28" s="229"/>
      <c r="F28" s="229"/>
      <c r="G28" s="229"/>
      <c r="H28" s="229"/>
      <c r="I28" s="229"/>
      <c r="J28" s="229"/>
      <c r="K28" s="229"/>
      <c r="L28" s="229"/>
      <c r="M28" s="229"/>
      <c r="N28" s="229"/>
      <c r="O28" s="229"/>
      <c r="P28" s="229"/>
    </row>
    <row r="29" spans="1:16" x14ac:dyDescent="0.25">
      <c r="A29" s="229"/>
      <c r="B29" s="229"/>
      <c r="C29" s="229"/>
      <c r="D29" s="229"/>
      <c r="E29" s="229"/>
      <c r="F29" s="229"/>
      <c r="G29" s="229"/>
      <c r="H29" s="229"/>
      <c r="I29" s="229"/>
      <c r="J29" s="229"/>
      <c r="K29" s="229"/>
      <c r="L29" s="229"/>
      <c r="M29" s="229"/>
      <c r="N29" s="229"/>
      <c r="O29" s="229"/>
      <c r="P29" s="229"/>
    </row>
    <row r="30" spans="1:16" x14ac:dyDescent="0.25">
      <c r="A30" s="229"/>
      <c r="B30" s="229"/>
      <c r="C30" s="229"/>
      <c r="D30" s="229"/>
      <c r="E30" s="229"/>
      <c r="F30" s="229"/>
      <c r="G30" s="229"/>
      <c r="H30" s="229"/>
      <c r="I30" s="229"/>
      <c r="J30" s="229"/>
      <c r="K30" s="229"/>
      <c r="L30" s="229"/>
      <c r="M30" s="229"/>
      <c r="N30" s="229"/>
      <c r="O30" s="229"/>
      <c r="P30" s="229"/>
    </row>
    <row r="31" spans="1:16" x14ac:dyDescent="0.25">
      <c r="A31" s="229"/>
      <c r="B31" s="229"/>
      <c r="C31" s="229"/>
      <c r="D31" s="229"/>
      <c r="E31" s="229"/>
      <c r="F31" s="229"/>
      <c r="G31" s="229"/>
      <c r="H31" s="229"/>
      <c r="I31" s="229"/>
      <c r="J31" s="229"/>
      <c r="K31" s="229"/>
      <c r="L31" s="229"/>
      <c r="M31" s="229"/>
      <c r="N31" s="229"/>
      <c r="O31" s="229"/>
      <c r="P31" s="229"/>
    </row>
    <row r="32" spans="1:16" x14ac:dyDescent="0.25">
      <c r="A32" s="229"/>
      <c r="B32" s="229"/>
      <c r="C32" s="229"/>
      <c r="D32" s="229"/>
      <c r="E32" s="229"/>
      <c r="F32" s="229"/>
      <c r="G32" s="229"/>
      <c r="H32" s="229"/>
      <c r="I32" s="229"/>
      <c r="J32" s="229"/>
      <c r="K32" s="229"/>
      <c r="L32" s="229"/>
      <c r="M32" s="229"/>
      <c r="N32" s="229"/>
      <c r="O32" s="229"/>
      <c r="P32" s="229"/>
    </row>
    <row r="33" spans="1:16" x14ac:dyDescent="0.25">
      <c r="A33" s="229"/>
      <c r="B33" s="229"/>
      <c r="C33" s="229"/>
      <c r="D33" s="229"/>
      <c r="E33" s="229"/>
      <c r="F33" s="229"/>
      <c r="G33" s="229"/>
      <c r="H33" s="229"/>
      <c r="I33" s="229"/>
      <c r="J33" s="229"/>
      <c r="K33" s="229"/>
      <c r="L33" s="229"/>
      <c r="M33" s="229"/>
      <c r="N33" s="229"/>
      <c r="O33" s="229"/>
      <c r="P33" s="229"/>
    </row>
    <row r="34" spans="1:16" x14ac:dyDescent="0.25">
      <c r="A34" s="229"/>
      <c r="B34" s="229"/>
      <c r="C34" s="229"/>
      <c r="D34" s="229"/>
      <c r="E34" s="229"/>
      <c r="F34" s="229"/>
      <c r="G34" s="229"/>
      <c r="H34" s="229"/>
      <c r="I34" s="229"/>
      <c r="J34" s="229"/>
      <c r="K34" s="229"/>
      <c r="L34" s="229"/>
      <c r="M34" s="229"/>
      <c r="N34" s="229"/>
      <c r="O34" s="229"/>
      <c r="P34" s="229"/>
    </row>
    <row r="35" spans="1:16" x14ac:dyDescent="0.25">
      <c r="A35" s="229"/>
      <c r="B35" s="229"/>
      <c r="C35" s="229"/>
      <c r="D35" s="229"/>
      <c r="E35" s="229"/>
      <c r="F35" s="229"/>
      <c r="G35" s="229"/>
      <c r="H35" s="229"/>
      <c r="I35" s="229"/>
      <c r="J35" s="229"/>
      <c r="K35" s="229"/>
      <c r="L35" s="229"/>
      <c r="M35" s="229"/>
      <c r="N35" s="229"/>
      <c r="O35" s="229"/>
      <c r="P35" s="229"/>
    </row>
    <row r="36" spans="1:16" x14ac:dyDescent="0.25">
      <c r="A36" s="229"/>
      <c r="B36" s="229"/>
      <c r="C36" s="229"/>
      <c r="D36" s="229"/>
      <c r="E36" s="229"/>
      <c r="F36" s="229"/>
      <c r="G36" s="229"/>
      <c r="H36" s="229"/>
      <c r="I36" s="229"/>
      <c r="J36" s="229"/>
      <c r="K36" s="229"/>
      <c r="L36" s="229"/>
      <c r="M36" s="229"/>
      <c r="N36" s="229"/>
      <c r="O36" s="229"/>
      <c r="P36" s="229"/>
    </row>
    <row r="37" spans="1:16" x14ac:dyDescent="0.25">
      <c r="A37" s="229"/>
      <c r="B37" s="229"/>
      <c r="C37" s="229"/>
      <c r="D37" s="229"/>
      <c r="E37" s="229"/>
      <c r="F37" s="229"/>
      <c r="G37" s="229"/>
      <c r="H37" s="229"/>
      <c r="I37" s="229"/>
      <c r="J37" s="229"/>
      <c r="K37" s="229"/>
      <c r="L37" s="229"/>
      <c r="M37" s="229"/>
      <c r="N37" s="229"/>
      <c r="O37" s="229"/>
      <c r="P37" s="229"/>
    </row>
  </sheetData>
  <mergeCells count="1">
    <mergeCell ref="A2:J2"/>
  </mergeCells>
  <phoneticPr fontId="15" type="noConversion"/>
  <printOptions horizontalCentered="1" verticalCentered="1"/>
  <pageMargins left="0.75" right="0.75" top="1" bottom="1" header="0.5" footer="0.5"/>
  <pageSetup orientation="portrait" r:id="rId1"/>
  <headerFooter alignWithMargins="0">
    <oddFooter>&amp;L&amp;7Source: Office of Institutional Research</oddFooter>
  </headerFooter>
  <drawing r:id="rId2"/>
  <webPublishItems count="1">
    <webPublishItem id="9517" divId="2001_2002 FACT BOOK FINAL COPY_9517" sourceType="sheet" destinationFile="C:\Documents and Settings\mkirkpatrick\My Documents\2005-2006 Fact Book\2005-2006 WEB PAGES\05-06africanamericanenrollmentandgraph.htm"/>
  </webPublishItem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fitToPage="1"/>
  </sheetPr>
  <dimension ref="A1:G58"/>
  <sheetViews>
    <sheetView workbookViewId="0">
      <selection sqref="A1:G1"/>
    </sheetView>
  </sheetViews>
  <sheetFormatPr defaultColWidth="6.6640625" defaultRowHeight="13.2" x14ac:dyDescent="0.25"/>
  <cols>
    <col min="1" max="1" width="21.33203125" style="766" customWidth="1"/>
    <col min="2" max="2" width="6.6640625" style="766" hidden="1" customWidth="1"/>
    <col min="3" max="5" width="6.6640625" style="766" customWidth="1"/>
    <col min="6" max="9" width="6.6640625" style="266"/>
    <col min="10" max="10" width="7" style="266" bestFit="1" customWidth="1"/>
    <col min="11" max="16384" width="6.6640625" style="266"/>
  </cols>
  <sheetData>
    <row r="1" spans="1:7" ht="60" customHeight="1" x14ac:dyDescent="0.25">
      <c r="A1" s="1775" t="s">
        <v>1266</v>
      </c>
      <c r="B1" s="1775"/>
      <c r="C1" s="1775"/>
      <c r="D1" s="1775"/>
      <c r="E1" s="1775"/>
      <c r="F1" s="1775"/>
      <c r="G1" s="1775"/>
    </row>
    <row r="2" spans="1:7" x14ac:dyDescent="0.25">
      <c r="A2" s="767" t="s">
        <v>1267</v>
      </c>
      <c r="B2" s="768">
        <v>2007</v>
      </c>
      <c r="C2" s="768">
        <v>2008</v>
      </c>
      <c r="D2" s="768">
        <v>2009</v>
      </c>
      <c r="E2" s="768">
        <v>2010</v>
      </c>
      <c r="F2" s="768">
        <v>2011</v>
      </c>
      <c r="G2" s="768">
        <v>2012</v>
      </c>
    </row>
    <row r="3" spans="1:7" x14ac:dyDescent="0.25">
      <c r="A3" s="828"/>
      <c r="B3" s="829"/>
      <c r="C3" s="829"/>
      <c r="D3" s="829"/>
      <c r="E3" s="829"/>
      <c r="F3" s="829"/>
      <c r="G3" s="829"/>
    </row>
    <row r="4" spans="1:7" x14ac:dyDescent="0.25">
      <c r="A4" s="1004" t="s">
        <v>1269</v>
      </c>
      <c r="B4" s="770">
        <v>0</v>
      </c>
      <c r="C4" s="770">
        <v>1</v>
      </c>
      <c r="D4" s="770">
        <v>1</v>
      </c>
      <c r="E4" s="770">
        <v>1</v>
      </c>
      <c r="F4" s="770">
        <v>1</v>
      </c>
      <c r="G4" s="770">
        <v>1</v>
      </c>
    </row>
    <row r="5" spans="1:7" x14ac:dyDescent="0.25">
      <c r="A5" s="771" t="s">
        <v>1270</v>
      </c>
      <c r="B5" s="772">
        <v>1</v>
      </c>
      <c r="C5" s="772">
        <v>3</v>
      </c>
      <c r="D5" s="772">
        <v>3</v>
      </c>
      <c r="E5" s="772">
        <v>4</v>
      </c>
      <c r="F5" s="772">
        <v>3</v>
      </c>
      <c r="G5" s="772">
        <v>3</v>
      </c>
    </row>
    <row r="6" spans="1:7" x14ac:dyDescent="0.25">
      <c r="A6" s="1005" t="s">
        <v>1373</v>
      </c>
      <c r="B6" s="772">
        <v>0</v>
      </c>
      <c r="C6" s="772">
        <v>1</v>
      </c>
      <c r="D6" s="772">
        <v>0</v>
      </c>
      <c r="E6" s="772">
        <v>0</v>
      </c>
      <c r="F6" s="772">
        <v>0</v>
      </c>
      <c r="G6" s="772">
        <v>0</v>
      </c>
    </row>
    <row r="7" spans="1:7" x14ac:dyDescent="0.25">
      <c r="A7" s="771" t="s">
        <v>1257</v>
      </c>
      <c r="B7" s="772">
        <v>1</v>
      </c>
      <c r="C7" s="772">
        <v>1</v>
      </c>
      <c r="D7" s="772">
        <v>1</v>
      </c>
      <c r="E7" s="772">
        <v>0</v>
      </c>
      <c r="F7" s="772">
        <v>1</v>
      </c>
      <c r="G7" s="772">
        <v>1</v>
      </c>
    </row>
    <row r="8" spans="1:7" x14ac:dyDescent="0.25">
      <c r="A8" s="771" t="s">
        <v>1271</v>
      </c>
      <c r="B8" s="772">
        <v>1</v>
      </c>
      <c r="C8" s="772">
        <v>1</v>
      </c>
      <c r="D8" s="772">
        <v>1</v>
      </c>
      <c r="E8" s="772">
        <v>1</v>
      </c>
      <c r="F8" s="772">
        <v>1</v>
      </c>
      <c r="G8" s="772">
        <v>1</v>
      </c>
    </row>
    <row r="9" spans="1:7" x14ac:dyDescent="0.25">
      <c r="A9" s="771" t="s">
        <v>1272</v>
      </c>
      <c r="B9" s="772">
        <v>0</v>
      </c>
      <c r="C9" s="772">
        <v>0</v>
      </c>
      <c r="D9" s="772">
        <v>0</v>
      </c>
      <c r="E9" s="772">
        <v>0</v>
      </c>
      <c r="F9" s="772">
        <v>0</v>
      </c>
      <c r="G9" s="772">
        <v>1</v>
      </c>
    </row>
    <row r="10" spans="1:7" x14ac:dyDescent="0.25">
      <c r="A10" s="771" t="s">
        <v>1273</v>
      </c>
      <c r="B10" s="772">
        <v>3</v>
      </c>
      <c r="C10" s="772">
        <v>5</v>
      </c>
      <c r="D10" s="772">
        <v>4</v>
      </c>
      <c r="E10" s="772">
        <v>4</v>
      </c>
      <c r="F10" s="772">
        <v>4</v>
      </c>
      <c r="G10" s="772">
        <v>3</v>
      </c>
    </row>
    <row r="11" spans="1:7" x14ac:dyDescent="0.25">
      <c r="A11" s="771" t="s">
        <v>1274</v>
      </c>
      <c r="B11" s="772">
        <v>2</v>
      </c>
      <c r="C11" s="772">
        <v>1</v>
      </c>
      <c r="D11" s="772">
        <v>1</v>
      </c>
      <c r="E11" s="772">
        <v>0</v>
      </c>
      <c r="F11" s="772">
        <v>0</v>
      </c>
      <c r="G11" s="772">
        <v>0</v>
      </c>
    </row>
    <row r="12" spans="1:7" x14ac:dyDescent="0.25">
      <c r="A12" s="771" t="s">
        <v>1275</v>
      </c>
      <c r="B12" s="772">
        <v>4</v>
      </c>
      <c r="C12" s="772">
        <v>4</v>
      </c>
      <c r="D12" s="772">
        <v>5</v>
      </c>
      <c r="E12" s="772">
        <v>5</v>
      </c>
      <c r="F12" s="772">
        <v>5</v>
      </c>
      <c r="G12" s="772">
        <v>2</v>
      </c>
    </row>
    <row r="13" spans="1:7" x14ac:dyDescent="0.25">
      <c r="A13" s="1363" t="s">
        <v>1538</v>
      </c>
      <c r="B13" s="772"/>
      <c r="C13" s="772">
        <v>0</v>
      </c>
      <c r="D13" s="772">
        <v>0</v>
      </c>
      <c r="E13" s="772">
        <v>0</v>
      </c>
      <c r="F13" s="772">
        <v>0</v>
      </c>
      <c r="G13" s="772">
        <v>13</v>
      </c>
    </row>
    <row r="14" spans="1:7" x14ac:dyDescent="0.25">
      <c r="A14" s="1005" t="s">
        <v>1374</v>
      </c>
      <c r="B14" s="772">
        <v>0</v>
      </c>
      <c r="C14" s="772">
        <v>1</v>
      </c>
      <c r="D14" s="772">
        <v>1</v>
      </c>
      <c r="E14" s="772">
        <v>1</v>
      </c>
      <c r="F14" s="772">
        <v>0</v>
      </c>
      <c r="G14" s="772">
        <v>0</v>
      </c>
    </row>
    <row r="15" spans="1:7" x14ac:dyDescent="0.25">
      <c r="A15" s="1005" t="s">
        <v>1457</v>
      </c>
      <c r="B15" s="772">
        <v>0</v>
      </c>
      <c r="C15" s="772">
        <v>0</v>
      </c>
      <c r="D15" s="772">
        <v>0</v>
      </c>
      <c r="E15" s="772">
        <v>0</v>
      </c>
      <c r="F15" s="772">
        <v>1</v>
      </c>
      <c r="G15" s="772">
        <v>1</v>
      </c>
    </row>
    <row r="16" spans="1:7" x14ac:dyDescent="0.25">
      <c r="A16" s="771" t="s">
        <v>1276</v>
      </c>
      <c r="B16" s="772">
        <v>0</v>
      </c>
      <c r="C16" s="772">
        <v>0</v>
      </c>
      <c r="D16" s="772">
        <v>0</v>
      </c>
      <c r="E16" s="772">
        <v>0</v>
      </c>
      <c r="F16" s="772">
        <v>0</v>
      </c>
      <c r="G16" s="772">
        <v>1</v>
      </c>
    </row>
    <row r="17" spans="1:7" x14ac:dyDescent="0.25">
      <c r="A17" s="771" t="s">
        <v>1277</v>
      </c>
      <c r="B17" s="772">
        <v>4</v>
      </c>
      <c r="C17" s="772">
        <v>4</v>
      </c>
      <c r="D17" s="772">
        <v>4</v>
      </c>
      <c r="E17" s="772">
        <v>2</v>
      </c>
      <c r="F17" s="772">
        <v>1</v>
      </c>
      <c r="G17" s="772">
        <v>0</v>
      </c>
    </row>
    <row r="18" spans="1:7" x14ac:dyDescent="0.25">
      <c r="A18" s="771" t="s">
        <v>1278</v>
      </c>
      <c r="B18" s="772">
        <v>1</v>
      </c>
      <c r="C18" s="772">
        <v>2</v>
      </c>
      <c r="D18" s="772">
        <v>4</v>
      </c>
      <c r="E18" s="772">
        <v>4</v>
      </c>
      <c r="F18" s="772">
        <v>7</v>
      </c>
      <c r="G18" s="772">
        <v>8</v>
      </c>
    </row>
    <row r="19" spans="1:7" x14ac:dyDescent="0.25">
      <c r="A19" s="1005" t="s">
        <v>1455</v>
      </c>
      <c r="B19" s="772">
        <v>0</v>
      </c>
      <c r="C19" s="772">
        <v>0</v>
      </c>
      <c r="D19" s="772">
        <v>0</v>
      </c>
      <c r="E19" s="772">
        <v>1</v>
      </c>
      <c r="F19" s="772">
        <v>0</v>
      </c>
      <c r="G19" s="772">
        <v>0</v>
      </c>
    </row>
    <row r="20" spans="1:7" x14ac:dyDescent="0.25">
      <c r="A20" s="771" t="s">
        <v>1279</v>
      </c>
      <c r="B20" s="772">
        <v>4</v>
      </c>
      <c r="C20" s="772">
        <v>2</v>
      </c>
      <c r="D20" s="772">
        <v>1</v>
      </c>
      <c r="E20" s="772">
        <v>3</v>
      </c>
      <c r="F20" s="772">
        <v>4</v>
      </c>
      <c r="G20" s="772">
        <v>2</v>
      </c>
    </row>
    <row r="21" spans="1:7" x14ac:dyDescent="0.25">
      <c r="A21" s="771" t="s">
        <v>1539</v>
      </c>
      <c r="B21" s="772"/>
      <c r="C21" s="772">
        <v>0</v>
      </c>
      <c r="D21" s="772">
        <v>0</v>
      </c>
      <c r="E21" s="772">
        <v>0</v>
      </c>
      <c r="F21" s="772">
        <v>0</v>
      </c>
      <c r="G21" s="772">
        <v>1</v>
      </c>
    </row>
    <row r="22" spans="1:7" x14ac:dyDescent="0.25">
      <c r="A22" s="771" t="s">
        <v>1280</v>
      </c>
      <c r="B22" s="772">
        <v>0</v>
      </c>
      <c r="C22" s="772">
        <v>0</v>
      </c>
      <c r="D22" s="772">
        <v>0</v>
      </c>
      <c r="E22" s="772">
        <v>1</v>
      </c>
      <c r="F22" s="772">
        <v>1</v>
      </c>
      <c r="G22" s="772">
        <v>1</v>
      </c>
    </row>
    <row r="23" spans="1:7" x14ac:dyDescent="0.25">
      <c r="A23" s="1005" t="s">
        <v>1458</v>
      </c>
      <c r="B23" s="772">
        <v>0</v>
      </c>
      <c r="C23" s="772">
        <v>0</v>
      </c>
      <c r="D23" s="772">
        <v>0</v>
      </c>
      <c r="E23" s="772">
        <v>0</v>
      </c>
      <c r="F23" s="772">
        <v>1</v>
      </c>
      <c r="G23" s="772">
        <v>1</v>
      </c>
    </row>
    <row r="24" spans="1:7" x14ac:dyDescent="0.25">
      <c r="A24" s="771" t="s">
        <v>147</v>
      </c>
      <c r="B24" s="772">
        <v>1</v>
      </c>
      <c r="C24" s="772">
        <v>1</v>
      </c>
      <c r="D24" s="772">
        <v>1</v>
      </c>
      <c r="E24" s="772">
        <v>0</v>
      </c>
      <c r="F24" s="772">
        <v>1</v>
      </c>
      <c r="G24" s="772">
        <v>2</v>
      </c>
    </row>
    <row r="25" spans="1:7" x14ac:dyDescent="0.25">
      <c r="A25" s="1005" t="s">
        <v>1456</v>
      </c>
      <c r="B25" s="772">
        <v>0</v>
      </c>
      <c r="C25" s="772">
        <v>0</v>
      </c>
      <c r="D25" s="772">
        <v>0</v>
      </c>
      <c r="E25" s="772">
        <v>1</v>
      </c>
      <c r="F25" s="772">
        <v>0</v>
      </c>
      <c r="G25" s="772">
        <v>0</v>
      </c>
    </row>
    <row r="26" spans="1:7" x14ac:dyDescent="0.25">
      <c r="A26" s="771" t="s">
        <v>262</v>
      </c>
      <c r="B26" s="772">
        <v>1</v>
      </c>
      <c r="C26" s="772">
        <v>1</v>
      </c>
      <c r="D26" s="772">
        <v>1</v>
      </c>
      <c r="E26" s="772">
        <v>1</v>
      </c>
      <c r="F26" s="772">
        <v>1</v>
      </c>
      <c r="G26" s="772">
        <v>0</v>
      </c>
    </row>
    <row r="27" spans="1:7" x14ac:dyDescent="0.25">
      <c r="A27" s="1005" t="s">
        <v>573</v>
      </c>
      <c r="B27" s="772">
        <v>0</v>
      </c>
      <c r="C27" s="772">
        <v>0</v>
      </c>
      <c r="D27" s="772">
        <v>0</v>
      </c>
      <c r="E27" s="772">
        <v>1</v>
      </c>
      <c r="F27" s="772">
        <v>0</v>
      </c>
      <c r="G27" s="772">
        <v>0</v>
      </c>
    </row>
    <row r="28" spans="1:7" x14ac:dyDescent="0.25">
      <c r="A28" s="1005" t="s">
        <v>1459</v>
      </c>
      <c r="B28" s="772">
        <v>0</v>
      </c>
      <c r="C28" s="772">
        <v>0</v>
      </c>
      <c r="D28" s="772">
        <v>0</v>
      </c>
      <c r="E28" s="772">
        <v>0</v>
      </c>
      <c r="F28" s="772">
        <v>4</v>
      </c>
      <c r="G28" s="772">
        <v>13</v>
      </c>
    </row>
    <row r="29" spans="1:7" ht="13.5" customHeight="1" x14ac:dyDescent="0.25">
      <c r="A29" s="1305" t="s">
        <v>783</v>
      </c>
      <c r="B29" s="772">
        <v>0</v>
      </c>
      <c r="C29" s="772">
        <v>0</v>
      </c>
      <c r="D29" s="772">
        <v>0</v>
      </c>
      <c r="E29" s="772">
        <v>0</v>
      </c>
      <c r="F29" s="772">
        <v>0</v>
      </c>
      <c r="G29" s="772">
        <v>0</v>
      </c>
    </row>
    <row r="30" spans="1:7" ht="13.5" customHeight="1" x14ac:dyDescent="0.25">
      <c r="A30" s="1306" t="s">
        <v>1453</v>
      </c>
      <c r="B30" s="772">
        <v>0</v>
      </c>
      <c r="C30" s="772">
        <v>0</v>
      </c>
      <c r="D30" s="772">
        <v>1</v>
      </c>
      <c r="E30" s="772">
        <v>0</v>
      </c>
      <c r="F30" s="772">
        <v>0</v>
      </c>
      <c r="G30" s="772">
        <v>0</v>
      </c>
    </row>
    <row r="31" spans="1:7" ht="13.5" customHeight="1" x14ac:dyDescent="0.25">
      <c r="A31" s="1364" t="s">
        <v>1540</v>
      </c>
      <c r="B31" s="772"/>
      <c r="C31" s="772">
        <v>0</v>
      </c>
      <c r="D31" s="772">
        <v>0</v>
      </c>
      <c r="E31" s="772">
        <v>0</v>
      </c>
      <c r="F31" s="772">
        <v>0</v>
      </c>
      <c r="G31" s="772">
        <v>1</v>
      </c>
    </row>
    <row r="32" spans="1:7" x14ac:dyDescent="0.25">
      <c r="A32" s="1305" t="s">
        <v>784</v>
      </c>
      <c r="B32" s="772">
        <v>0</v>
      </c>
      <c r="C32" s="772">
        <v>0</v>
      </c>
      <c r="D32" s="772">
        <v>0</v>
      </c>
      <c r="E32" s="772">
        <v>0</v>
      </c>
      <c r="F32" s="772">
        <v>0</v>
      </c>
      <c r="G32" s="772">
        <v>0</v>
      </c>
    </row>
    <row r="33" spans="1:7" x14ac:dyDescent="0.25">
      <c r="A33" s="771" t="s">
        <v>1281</v>
      </c>
      <c r="B33" s="772">
        <v>2</v>
      </c>
      <c r="C33" s="772">
        <v>1</v>
      </c>
      <c r="D33" s="772">
        <v>1</v>
      </c>
      <c r="E33" s="772">
        <v>1</v>
      </c>
      <c r="F33" s="772">
        <v>1</v>
      </c>
      <c r="G33" s="772">
        <v>1</v>
      </c>
    </row>
    <row r="34" spans="1:7" x14ac:dyDescent="0.25">
      <c r="A34" s="771" t="s">
        <v>1282</v>
      </c>
      <c r="B34" s="772">
        <v>1</v>
      </c>
      <c r="C34" s="772">
        <v>1</v>
      </c>
      <c r="D34" s="772">
        <v>0</v>
      </c>
      <c r="E34" s="772">
        <v>0</v>
      </c>
      <c r="F34" s="772">
        <v>0</v>
      </c>
      <c r="G34" s="772">
        <v>0</v>
      </c>
    </row>
    <row r="35" spans="1:7" x14ac:dyDescent="0.25">
      <c r="A35" s="1363" t="s">
        <v>1541</v>
      </c>
      <c r="B35" s="772"/>
      <c r="C35" s="772">
        <v>0</v>
      </c>
      <c r="D35" s="772">
        <v>0</v>
      </c>
      <c r="E35" s="772">
        <v>0</v>
      </c>
      <c r="F35" s="772">
        <v>0</v>
      </c>
      <c r="G35" s="772">
        <v>1</v>
      </c>
    </row>
    <row r="36" spans="1:7" x14ac:dyDescent="0.25">
      <c r="A36" s="1306" t="s">
        <v>1460</v>
      </c>
      <c r="B36" s="772">
        <v>0</v>
      </c>
      <c r="C36" s="772">
        <v>0</v>
      </c>
      <c r="D36" s="772">
        <v>0</v>
      </c>
      <c r="E36" s="772">
        <v>0</v>
      </c>
      <c r="F36" s="772">
        <v>1</v>
      </c>
      <c r="G36" s="772">
        <v>1</v>
      </c>
    </row>
    <row r="37" spans="1:7" x14ac:dyDescent="0.25">
      <c r="A37" s="1364" t="s">
        <v>1542</v>
      </c>
      <c r="B37" s="772"/>
      <c r="C37" s="772">
        <v>0</v>
      </c>
      <c r="D37" s="772">
        <v>0</v>
      </c>
      <c r="E37" s="772">
        <v>0</v>
      </c>
      <c r="F37" s="772">
        <v>0</v>
      </c>
      <c r="G37" s="772">
        <v>1</v>
      </c>
    </row>
    <row r="38" spans="1:7" x14ac:dyDescent="0.25">
      <c r="A38" s="1305" t="s">
        <v>1064</v>
      </c>
      <c r="B38" s="772">
        <v>1</v>
      </c>
      <c r="C38" s="772">
        <v>1</v>
      </c>
      <c r="D38" s="772">
        <v>1</v>
      </c>
      <c r="E38" s="772">
        <v>2</v>
      </c>
      <c r="F38" s="772">
        <v>2</v>
      </c>
      <c r="G38" s="772">
        <v>2</v>
      </c>
    </row>
    <row r="39" spans="1:7" x14ac:dyDescent="0.25">
      <c r="A39" s="1306" t="s">
        <v>1454</v>
      </c>
      <c r="B39" s="772">
        <v>0</v>
      </c>
      <c r="C39" s="772">
        <v>0</v>
      </c>
      <c r="D39" s="772">
        <v>1</v>
      </c>
      <c r="E39" s="772">
        <v>1</v>
      </c>
      <c r="F39" s="772">
        <v>1</v>
      </c>
      <c r="G39" s="772">
        <v>0</v>
      </c>
    </row>
    <row r="40" spans="1:7" x14ac:dyDescent="0.25">
      <c r="A40" s="1307" t="s">
        <v>1283</v>
      </c>
      <c r="B40" s="772">
        <v>0</v>
      </c>
      <c r="C40" s="772">
        <v>0</v>
      </c>
      <c r="D40" s="772">
        <v>0</v>
      </c>
      <c r="E40" s="772">
        <v>1</v>
      </c>
      <c r="F40" s="772">
        <v>1</v>
      </c>
      <c r="G40" s="772">
        <v>1</v>
      </c>
    </row>
    <row r="41" spans="1:7" x14ac:dyDescent="0.25">
      <c r="A41" s="1305" t="s">
        <v>1065</v>
      </c>
      <c r="B41" s="772">
        <v>1</v>
      </c>
      <c r="C41" s="772">
        <v>0</v>
      </c>
      <c r="D41" s="772">
        <v>0</v>
      </c>
      <c r="E41" s="772">
        <v>0</v>
      </c>
      <c r="F41" s="772">
        <v>0</v>
      </c>
      <c r="G41" s="772">
        <v>2</v>
      </c>
    </row>
    <row r="42" spans="1:7" x14ac:dyDescent="0.25">
      <c r="A42" s="771" t="s">
        <v>1284</v>
      </c>
      <c r="B42" s="772">
        <v>2</v>
      </c>
      <c r="C42" s="772">
        <v>5</v>
      </c>
      <c r="D42" s="772">
        <v>3</v>
      </c>
      <c r="E42" s="772">
        <v>4</v>
      </c>
      <c r="F42" s="772">
        <v>5</v>
      </c>
      <c r="G42" s="772">
        <v>5</v>
      </c>
    </row>
    <row r="43" spans="1:7" x14ac:dyDescent="0.25">
      <c r="A43" s="771" t="s">
        <v>1066</v>
      </c>
      <c r="B43" s="772">
        <v>0</v>
      </c>
      <c r="C43" s="772">
        <v>0</v>
      </c>
      <c r="D43" s="772">
        <v>0</v>
      </c>
      <c r="E43" s="772">
        <v>0</v>
      </c>
      <c r="F43" s="772">
        <v>0</v>
      </c>
      <c r="G43" s="772">
        <v>0</v>
      </c>
    </row>
    <row r="44" spans="1:7" x14ac:dyDescent="0.25">
      <c r="A44" s="771" t="s">
        <v>785</v>
      </c>
      <c r="B44" s="772">
        <v>1</v>
      </c>
      <c r="C44" s="772">
        <v>1</v>
      </c>
      <c r="D44" s="772">
        <v>0</v>
      </c>
      <c r="E44" s="772">
        <v>0</v>
      </c>
      <c r="F44" s="772">
        <v>0</v>
      </c>
      <c r="G44" s="772">
        <v>0</v>
      </c>
    </row>
    <row r="45" spans="1:7" x14ac:dyDescent="0.25">
      <c r="A45" s="771" t="s">
        <v>263</v>
      </c>
      <c r="B45" s="772">
        <v>1</v>
      </c>
      <c r="C45" s="772">
        <v>1</v>
      </c>
      <c r="D45" s="772">
        <v>0</v>
      </c>
      <c r="E45" s="772">
        <v>0</v>
      </c>
      <c r="F45" s="772">
        <v>0</v>
      </c>
      <c r="G45" s="772">
        <v>0</v>
      </c>
    </row>
    <row r="46" spans="1:7" x14ac:dyDescent="0.25">
      <c r="A46" s="771" t="s">
        <v>264</v>
      </c>
      <c r="B46" s="772">
        <v>1</v>
      </c>
      <c r="C46" s="772">
        <v>1</v>
      </c>
      <c r="D46" s="772">
        <v>0</v>
      </c>
      <c r="E46" s="772">
        <v>0</v>
      </c>
      <c r="F46" s="772">
        <v>0</v>
      </c>
      <c r="G46" s="772">
        <v>0</v>
      </c>
    </row>
    <row r="47" spans="1:7" x14ac:dyDescent="0.25">
      <c r="A47" s="771" t="s">
        <v>1286</v>
      </c>
      <c r="B47" s="772">
        <v>17</v>
      </c>
      <c r="C47" s="772">
        <v>17</v>
      </c>
      <c r="D47" s="772">
        <v>17</v>
      </c>
      <c r="E47" s="772">
        <v>16</v>
      </c>
      <c r="F47" s="772">
        <v>10</v>
      </c>
      <c r="G47" s="772">
        <v>12</v>
      </c>
    </row>
    <row r="48" spans="1:7" x14ac:dyDescent="0.25">
      <c r="A48" s="771" t="s">
        <v>1315</v>
      </c>
      <c r="B48" s="772">
        <v>0</v>
      </c>
      <c r="C48" s="772">
        <v>0</v>
      </c>
      <c r="D48" s="772">
        <v>0</v>
      </c>
      <c r="E48" s="772">
        <v>0</v>
      </c>
      <c r="F48" s="772">
        <v>0</v>
      </c>
      <c r="G48" s="772">
        <v>0</v>
      </c>
    </row>
    <row r="49" spans="1:7" x14ac:dyDescent="0.25">
      <c r="A49" s="771" t="s">
        <v>1287</v>
      </c>
      <c r="B49" s="772">
        <v>0</v>
      </c>
      <c r="C49" s="772">
        <v>0</v>
      </c>
      <c r="D49" s="772">
        <v>0</v>
      </c>
      <c r="E49" s="772">
        <v>0</v>
      </c>
      <c r="F49" s="772">
        <v>0</v>
      </c>
      <c r="G49" s="772">
        <v>0</v>
      </c>
    </row>
    <row r="50" spans="1:7" x14ac:dyDescent="0.25">
      <c r="A50" s="771" t="s">
        <v>1288</v>
      </c>
      <c r="B50" s="772">
        <v>0</v>
      </c>
      <c r="C50" s="772">
        <v>0</v>
      </c>
      <c r="D50" s="772">
        <v>0</v>
      </c>
      <c r="E50" s="772">
        <v>0</v>
      </c>
      <c r="F50" s="772">
        <v>0</v>
      </c>
      <c r="G50" s="772">
        <v>0</v>
      </c>
    </row>
    <row r="51" spans="1:7" x14ac:dyDescent="0.25">
      <c r="A51" s="771" t="s">
        <v>1289</v>
      </c>
      <c r="B51" s="772">
        <v>9</v>
      </c>
      <c r="C51" s="772">
        <v>10</v>
      </c>
      <c r="D51" s="772">
        <v>7</v>
      </c>
      <c r="E51" s="772">
        <v>5</v>
      </c>
      <c r="F51" s="772">
        <v>3</v>
      </c>
      <c r="G51" s="772">
        <v>2</v>
      </c>
    </row>
    <row r="52" spans="1:7" x14ac:dyDescent="0.25">
      <c r="A52" s="826"/>
      <c r="B52" s="827"/>
      <c r="C52" s="827"/>
      <c r="D52" s="827"/>
      <c r="E52" s="827"/>
      <c r="F52" s="827"/>
      <c r="G52" s="827"/>
    </row>
    <row r="53" spans="1:7" x14ac:dyDescent="0.25">
      <c r="A53" s="769" t="s">
        <v>1290</v>
      </c>
      <c r="B53" s="772">
        <f t="shared" ref="B53:G53" si="0">SUM(B4:B51)</f>
        <v>59</v>
      </c>
      <c r="C53" s="772">
        <f t="shared" si="0"/>
        <v>66</v>
      </c>
      <c r="D53" s="772">
        <f t="shared" si="0"/>
        <v>59</v>
      </c>
      <c r="E53" s="772">
        <f t="shared" si="0"/>
        <v>60</v>
      </c>
      <c r="F53" s="772">
        <f t="shared" si="0"/>
        <v>60</v>
      </c>
      <c r="G53" s="772">
        <f t="shared" si="0"/>
        <v>84</v>
      </c>
    </row>
    <row r="54" spans="1:7" x14ac:dyDescent="0.25">
      <c r="A54" s="771" t="s">
        <v>1291</v>
      </c>
      <c r="B54" s="772">
        <v>2268</v>
      </c>
      <c r="C54" s="772">
        <v>2424</v>
      </c>
      <c r="D54" s="772">
        <v>2627</v>
      </c>
      <c r="E54" s="772">
        <v>2837</v>
      </c>
      <c r="F54" s="772">
        <v>2851</v>
      </c>
      <c r="G54" s="772">
        <v>2807</v>
      </c>
    </row>
    <row r="55" spans="1:7" x14ac:dyDescent="0.25">
      <c r="A55" s="771" t="s">
        <v>1265</v>
      </c>
      <c r="B55" s="772">
        <v>81</v>
      </c>
      <c r="C55" s="772">
        <v>124</v>
      </c>
      <c r="D55" s="772">
        <v>152</v>
      </c>
      <c r="E55" s="772">
        <v>163</v>
      </c>
      <c r="F55" s="772">
        <v>158</v>
      </c>
      <c r="G55" s="772">
        <v>158</v>
      </c>
    </row>
    <row r="56" spans="1:7" x14ac:dyDescent="0.25">
      <c r="A56" s="826"/>
      <c r="B56" s="827"/>
      <c r="C56" s="827"/>
      <c r="D56" s="827"/>
      <c r="E56" s="827"/>
      <c r="F56" s="827"/>
      <c r="G56" s="827"/>
    </row>
    <row r="57" spans="1:7" x14ac:dyDescent="0.25">
      <c r="A57" s="773" t="s">
        <v>949</v>
      </c>
      <c r="B57" s="774">
        <f t="shared" ref="B57:G57" si="1">SUM(B53:B55)</f>
        <v>2408</v>
      </c>
      <c r="C57" s="774">
        <f t="shared" si="1"/>
        <v>2614</v>
      </c>
      <c r="D57" s="774">
        <f t="shared" si="1"/>
        <v>2838</v>
      </c>
      <c r="E57" s="774">
        <f t="shared" si="1"/>
        <v>3060</v>
      </c>
      <c r="F57" s="774">
        <f t="shared" si="1"/>
        <v>3069</v>
      </c>
      <c r="G57" s="774">
        <f t="shared" si="1"/>
        <v>3049</v>
      </c>
    </row>
    <row r="58" spans="1:7" x14ac:dyDescent="0.25">
      <c r="D58" s="248"/>
      <c r="E58" s="248"/>
      <c r="F58" s="248"/>
      <c r="G58" s="248"/>
    </row>
  </sheetData>
  <mergeCells count="1">
    <mergeCell ref="A1:G1"/>
  </mergeCells>
  <phoneticPr fontId="15" type="noConversion"/>
  <printOptions horizontalCentered="1" verticalCentered="1"/>
  <pageMargins left="0.75" right="0.75" top="1" bottom="1" header="0.5" footer="0.5"/>
  <pageSetup scale="85" orientation="portrait" r:id="rId1"/>
  <headerFooter alignWithMargins="0">
    <oddFooter>&amp;L&amp;8Source: Office of Institutional Research</oddFooter>
  </headerFooter>
  <webPublishItems count="1">
    <webPublishItem id="3127" divId="2001_2002 FACT BOOK FINAL COPY_3127" sourceType="sheet" destinationFile="U:\My Documents\2004-2005 FACT BOOK\2004-2005 fact book WEB PAGES\04-05geodistributionbyCOUNTRY.htm"/>
  </webPublishItem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0"/>
  <sheetViews>
    <sheetView workbookViewId="0"/>
  </sheetViews>
  <sheetFormatPr defaultRowHeight="13.2" x14ac:dyDescent="0.25"/>
  <cols>
    <col min="1" max="1" width="2.109375" customWidth="1"/>
  </cols>
  <sheetData>
    <row r="1" spans="1:12" ht="15.6" x14ac:dyDescent="0.25">
      <c r="B1" s="1693" t="s">
        <v>1256</v>
      </c>
      <c r="C1" s="1693"/>
      <c r="D1" s="1693"/>
      <c r="E1" s="1693"/>
      <c r="F1" s="1693"/>
      <c r="G1" s="1693"/>
      <c r="H1" s="1693"/>
      <c r="I1" s="1693"/>
      <c r="J1" s="1693"/>
      <c r="K1" s="1693"/>
      <c r="L1" s="1693"/>
    </row>
    <row r="2" spans="1:12" x14ac:dyDescent="0.25">
      <c r="A2" s="1692" t="s">
        <v>953</v>
      </c>
      <c r="B2" s="1692"/>
      <c r="C2" s="1692"/>
      <c r="D2" s="1692"/>
      <c r="E2" s="1692"/>
      <c r="F2" s="1692"/>
      <c r="G2" s="1692"/>
      <c r="H2" s="1692"/>
      <c r="I2" s="1692"/>
      <c r="J2" s="1692"/>
      <c r="K2" s="1692"/>
      <c r="L2" s="1692"/>
    </row>
    <row r="3" spans="1:12" x14ac:dyDescent="0.25">
      <c r="A3" s="760"/>
      <c r="B3" s="760"/>
      <c r="C3" s="760"/>
      <c r="D3" s="760"/>
      <c r="E3" s="760"/>
      <c r="F3" s="760"/>
      <c r="G3" s="760"/>
      <c r="H3" s="760"/>
      <c r="I3" s="760"/>
      <c r="J3" s="760"/>
      <c r="K3" s="760"/>
      <c r="L3" s="760"/>
    </row>
    <row r="4" spans="1:12" x14ac:dyDescent="0.25">
      <c r="A4" s="760"/>
      <c r="B4" s="760"/>
      <c r="C4" s="760"/>
      <c r="D4" s="760"/>
      <c r="E4" s="760"/>
      <c r="F4" s="760"/>
      <c r="G4" s="760"/>
      <c r="H4" s="760"/>
      <c r="I4" s="760"/>
      <c r="J4" s="760"/>
      <c r="K4" s="760"/>
      <c r="L4" s="760"/>
    </row>
    <row r="5" spans="1:12" x14ac:dyDescent="0.25">
      <c r="A5" s="760"/>
      <c r="B5" s="760"/>
      <c r="C5" s="760"/>
      <c r="D5" s="760"/>
      <c r="E5" s="760"/>
      <c r="F5" s="760"/>
      <c r="G5" s="760"/>
      <c r="H5" s="760"/>
      <c r="I5" s="760"/>
      <c r="J5" s="760"/>
      <c r="K5" s="760"/>
      <c r="L5" s="760"/>
    </row>
    <row r="6" spans="1:12" x14ac:dyDescent="0.25">
      <c r="A6" s="760"/>
      <c r="B6" s="760"/>
      <c r="C6" s="760"/>
      <c r="D6" s="760"/>
      <c r="E6" s="760"/>
      <c r="F6" s="760"/>
      <c r="G6" s="760"/>
      <c r="H6" s="760"/>
      <c r="I6" s="760"/>
      <c r="J6" s="760"/>
      <c r="K6" s="760"/>
      <c r="L6" s="760"/>
    </row>
    <row r="7" spans="1:12" x14ac:dyDescent="0.25">
      <c r="A7" s="760"/>
      <c r="B7" s="760"/>
      <c r="C7" s="760"/>
      <c r="D7" s="760"/>
      <c r="E7" s="760"/>
      <c r="F7" s="760"/>
      <c r="G7" s="760"/>
      <c r="H7" s="760"/>
      <c r="I7" s="760"/>
      <c r="J7" s="760"/>
      <c r="K7" s="760"/>
      <c r="L7" s="760"/>
    </row>
    <row r="8" spans="1:12" x14ac:dyDescent="0.25">
      <c r="A8" s="760"/>
      <c r="B8" s="760"/>
      <c r="C8" s="760"/>
      <c r="D8" s="760"/>
      <c r="E8" s="760"/>
      <c r="F8" s="760"/>
      <c r="G8" s="760"/>
      <c r="H8" s="760"/>
      <c r="I8" s="760"/>
      <c r="J8" s="760"/>
      <c r="K8" s="760"/>
      <c r="L8" s="760"/>
    </row>
    <row r="9" spans="1:12" x14ac:dyDescent="0.25">
      <c r="A9" s="760"/>
      <c r="B9" s="760"/>
      <c r="C9" s="760"/>
      <c r="D9" s="760"/>
      <c r="E9" s="760"/>
      <c r="F9" s="760"/>
      <c r="G9" s="760"/>
      <c r="H9" s="760"/>
      <c r="I9" s="760"/>
      <c r="J9" s="760"/>
      <c r="K9" s="760"/>
      <c r="L9" s="760"/>
    </row>
    <row r="10" spans="1:12" x14ac:dyDescent="0.25">
      <c r="A10" s="760"/>
      <c r="B10" s="760"/>
      <c r="C10" s="760"/>
      <c r="D10" s="760"/>
      <c r="E10" s="760"/>
      <c r="F10" s="760"/>
      <c r="G10" s="760"/>
      <c r="H10" s="760"/>
      <c r="I10" s="760"/>
      <c r="J10" s="760"/>
      <c r="K10" s="760"/>
      <c r="L10" s="760"/>
    </row>
    <row r="11" spans="1:12" x14ac:dyDescent="0.25">
      <c r="A11" s="760"/>
      <c r="B11" s="760"/>
      <c r="C11" s="760"/>
      <c r="D11" s="760"/>
      <c r="E11" s="760"/>
      <c r="F11" s="760"/>
      <c r="G11" s="760"/>
      <c r="H11" s="760"/>
      <c r="I11" s="760"/>
      <c r="J11" s="760"/>
      <c r="K11" s="760"/>
      <c r="L11" s="760"/>
    </row>
    <row r="12" spans="1:12" x14ac:dyDescent="0.25">
      <c r="A12" s="760"/>
      <c r="B12" s="760"/>
      <c r="C12" s="760"/>
      <c r="D12" s="760"/>
      <c r="E12" s="760"/>
      <c r="F12" s="760"/>
      <c r="G12" s="760"/>
      <c r="H12" s="760"/>
      <c r="I12" s="760"/>
      <c r="J12" s="760"/>
      <c r="K12" s="760"/>
      <c r="L12" s="760"/>
    </row>
    <row r="13" spans="1:12" x14ac:dyDescent="0.25">
      <c r="A13" s="760"/>
      <c r="B13" s="760"/>
      <c r="C13" s="760"/>
      <c r="D13" s="760"/>
      <c r="E13" s="760"/>
      <c r="F13" s="760"/>
      <c r="G13" s="760"/>
      <c r="H13" s="760"/>
      <c r="I13" s="760"/>
      <c r="J13" s="760"/>
      <c r="K13" s="760"/>
      <c r="L13" s="760"/>
    </row>
    <row r="14" spans="1:12" x14ac:dyDescent="0.25">
      <c r="A14" s="760"/>
      <c r="B14" s="760"/>
      <c r="C14" s="760"/>
      <c r="D14" s="760"/>
      <c r="E14" s="760"/>
      <c r="F14" s="760"/>
      <c r="G14" s="760"/>
      <c r="H14" s="760"/>
      <c r="I14" s="760"/>
      <c r="J14" s="760"/>
      <c r="K14" s="760"/>
      <c r="L14" s="760"/>
    </row>
    <row r="15" spans="1:12" x14ac:dyDescent="0.25">
      <c r="A15" s="760"/>
      <c r="B15" s="760"/>
      <c r="C15" s="760"/>
      <c r="D15" s="760"/>
      <c r="E15" s="760"/>
      <c r="F15" s="760"/>
      <c r="G15" s="760"/>
      <c r="H15" s="760"/>
      <c r="I15" s="760"/>
      <c r="J15" s="760"/>
      <c r="K15" s="760"/>
      <c r="L15" s="760"/>
    </row>
    <row r="16" spans="1:12" x14ac:dyDescent="0.25">
      <c r="A16" s="760"/>
      <c r="B16" s="760"/>
      <c r="C16" s="760"/>
      <c r="D16" s="760"/>
      <c r="E16" s="760"/>
      <c r="F16" s="760"/>
      <c r="G16" s="760"/>
      <c r="H16" s="760"/>
      <c r="I16" s="760"/>
      <c r="J16" s="760"/>
      <c r="K16" s="760"/>
      <c r="L16" s="760"/>
    </row>
    <row r="17" spans="1:12" x14ac:dyDescent="0.25">
      <c r="A17" s="760"/>
      <c r="B17" s="760"/>
      <c r="C17" s="760"/>
      <c r="D17" s="760"/>
      <c r="E17" s="760"/>
      <c r="F17" s="760"/>
      <c r="G17" s="760"/>
      <c r="H17" s="760"/>
      <c r="I17" s="760"/>
      <c r="J17" s="760"/>
      <c r="K17" s="760"/>
      <c r="L17" s="760"/>
    </row>
    <row r="18" spans="1:12" x14ac:dyDescent="0.25">
      <c r="A18" s="760"/>
      <c r="B18" s="760"/>
      <c r="C18" s="760"/>
      <c r="D18" s="760"/>
      <c r="E18" s="760"/>
      <c r="F18" s="760"/>
      <c r="G18" s="760"/>
      <c r="H18" s="760"/>
      <c r="I18" s="760"/>
      <c r="J18" s="760"/>
      <c r="K18" s="760"/>
      <c r="L18" s="760"/>
    </row>
    <row r="19" spans="1:12" x14ac:dyDescent="0.25">
      <c r="A19" s="760"/>
      <c r="B19" s="760"/>
      <c r="C19" s="760"/>
      <c r="D19" s="760"/>
      <c r="E19" s="760"/>
      <c r="F19" s="760"/>
      <c r="G19" s="760"/>
      <c r="H19" s="760"/>
      <c r="I19" s="760"/>
      <c r="J19" s="760"/>
      <c r="K19" s="760"/>
      <c r="L19" s="760"/>
    </row>
    <row r="20" spans="1:12" x14ac:dyDescent="0.25">
      <c r="A20" s="760"/>
      <c r="B20" s="760"/>
      <c r="C20" s="760"/>
      <c r="D20" s="760"/>
      <c r="E20" s="760"/>
      <c r="F20" s="760"/>
      <c r="G20" s="760"/>
      <c r="H20" s="760"/>
      <c r="I20" s="760"/>
      <c r="J20" s="760"/>
      <c r="K20" s="760"/>
      <c r="L20" s="760"/>
    </row>
    <row r="21" spans="1:12" x14ac:dyDescent="0.25">
      <c r="A21" s="760"/>
      <c r="B21" s="760"/>
      <c r="C21" s="760"/>
      <c r="D21" s="760"/>
      <c r="E21" s="760"/>
      <c r="F21" s="760"/>
      <c r="G21" s="760"/>
      <c r="H21" s="760"/>
      <c r="I21" s="760"/>
      <c r="J21" s="760"/>
      <c r="K21" s="760"/>
      <c r="L21" s="760"/>
    </row>
    <row r="22" spans="1:12" x14ac:dyDescent="0.25">
      <c r="A22" s="760"/>
      <c r="B22" s="760"/>
      <c r="C22" s="760"/>
      <c r="D22" s="760"/>
      <c r="E22" s="760"/>
      <c r="F22" s="760"/>
      <c r="G22" s="760"/>
      <c r="H22" s="760"/>
      <c r="I22" s="760"/>
      <c r="J22" s="760"/>
      <c r="K22" s="760"/>
      <c r="L22" s="760"/>
    </row>
    <row r="23" spans="1:12" x14ac:dyDescent="0.25">
      <c r="A23" s="760"/>
      <c r="B23" s="760"/>
      <c r="C23" s="760"/>
      <c r="D23" s="760"/>
      <c r="E23" s="760"/>
      <c r="F23" s="760"/>
      <c r="G23" s="760"/>
      <c r="H23" s="760"/>
      <c r="I23" s="760"/>
      <c r="J23" s="760"/>
      <c r="K23" s="760"/>
      <c r="L23" s="760"/>
    </row>
    <row r="24" spans="1:12" x14ac:dyDescent="0.25">
      <c r="A24" s="760"/>
      <c r="B24" s="760"/>
      <c r="C24" s="760"/>
      <c r="D24" s="760"/>
      <c r="E24" s="760"/>
      <c r="F24" s="760"/>
      <c r="G24" s="760"/>
      <c r="H24" s="760"/>
      <c r="I24" s="760"/>
      <c r="J24" s="760"/>
      <c r="K24" s="760"/>
      <c r="L24" s="760"/>
    </row>
    <row r="25" spans="1:12" x14ac:dyDescent="0.25">
      <c r="A25" s="760"/>
      <c r="B25" s="760"/>
      <c r="C25" s="760"/>
      <c r="D25" s="760"/>
      <c r="E25" s="760"/>
      <c r="F25" s="760"/>
      <c r="G25" s="760"/>
      <c r="H25" s="760"/>
      <c r="I25" s="760"/>
      <c r="J25" s="760"/>
      <c r="K25" s="760"/>
      <c r="L25" s="760"/>
    </row>
    <row r="26" spans="1:12" x14ac:dyDescent="0.25">
      <c r="A26" s="760"/>
      <c r="B26" s="760"/>
      <c r="C26" s="760"/>
      <c r="D26" s="760"/>
      <c r="E26" s="760"/>
      <c r="F26" s="760"/>
      <c r="G26" s="760"/>
      <c r="H26" s="760"/>
      <c r="I26" s="760"/>
      <c r="J26" s="760"/>
      <c r="K26" s="760"/>
      <c r="L26" s="760"/>
    </row>
    <row r="27" spans="1:12" x14ac:dyDescent="0.25">
      <c r="A27" s="760"/>
      <c r="B27" s="760"/>
      <c r="C27" s="760"/>
      <c r="D27" s="760"/>
      <c r="E27" s="760"/>
      <c r="F27" s="760"/>
      <c r="G27" s="760"/>
      <c r="H27" s="760"/>
      <c r="I27" s="760"/>
      <c r="J27" s="760"/>
      <c r="K27" s="760"/>
      <c r="L27" s="760"/>
    </row>
    <row r="28" spans="1:12" x14ac:dyDescent="0.25">
      <c r="A28" s="760"/>
      <c r="B28" s="760"/>
      <c r="C28" s="760"/>
      <c r="D28" s="760"/>
      <c r="E28" s="760"/>
      <c r="F28" s="760"/>
      <c r="G28" s="760"/>
      <c r="H28" s="760"/>
      <c r="I28" s="760"/>
      <c r="J28" s="760"/>
      <c r="K28" s="760"/>
      <c r="L28" s="760"/>
    </row>
    <row r="29" spans="1:12" x14ac:dyDescent="0.25">
      <c r="A29" s="760"/>
      <c r="B29" s="760"/>
      <c r="C29" s="760"/>
      <c r="D29" s="760"/>
      <c r="E29" s="760"/>
      <c r="F29" s="760"/>
      <c r="G29" s="760"/>
      <c r="H29" s="760"/>
      <c r="I29" s="760"/>
      <c r="J29" s="760"/>
      <c r="K29" s="760"/>
      <c r="L29" s="760"/>
    </row>
    <row r="30" spans="1:12" x14ac:dyDescent="0.25">
      <c r="A30" s="760"/>
      <c r="B30" s="760"/>
      <c r="C30" s="760"/>
      <c r="D30" s="760"/>
      <c r="E30" s="760"/>
      <c r="F30" s="760"/>
      <c r="G30" s="760"/>
      <c r="H30" s="760"/>
      <c r="I30" s="760"/>
      <c r="J30" s="760"/>
      <c r="K30" s="760"/>
      <c r="L30" s="760"/>
    </row>
    <row r="31" spans="1:12" x14ac:dyDescent="0.25">
      <c r="A31" s="760"/>
      <c r="B31" s="760"/>
      <c r="C31" s="760"/>
      <c r="D31" s="760"/>
      <c r="E31" s="760"/>
      <c r="F31" s="760"/>
      <c r="G31" s="760"/>
      <c r="H31" s="760"/>
      <c r="I31" s="760"/>
      <c r="J31" s="760"/>
      <c r="K31" s="760"/>
      <c r="L31" s="760"/>
    </row>
    <row r="32" spans="1:12" x14ac:dyDescent="0.25">
      <c r="A32" s="760"/>
      <c r="B32" s="760"/>
      <c r="C32" s="760"/>
      <c r="D32" s="760"/>
      <c r="E32" s="760"/>
      <c r="F32" s="760"/>
      <c r="G32" s="760"/>
      <c r="H32" s="760"/>
      <c r="I32" s="760"/>
      <c r="J32" s="760"/>
      <c r="K32" s="760"/>
      <c r="L32" s="760"/>
    </row>
    <row r="33" spans="1:12" x14ac:dyDescent="0.25">
      <c r="A33" s="760"/>
      <c r="B33" s="760"/>
      <c r="C33" s="760"/>
      <c r="D33" s="760"/>
      <c r="E33" s="760"/>
      <c r="F33" s="760"/>
      <c r="G33" s="760"/>
      <c r="H33" s="760"/>
      <c r="I33" s="760"/>
      <c r="J33" s="760"/>
      <c r="K33" s="760"/>
      <c r="L33" s="760"/>
    </row>
    <row r="34" spans="1:12" x14ac:dyDescent="0.25">
      <c r="A34" s="760"/>
      <c r="B34" s="760"/>
      <c r="C34" s="760"/>
      <c r="D34" s="760"/>
      <c r="E34" s="760"/>
      <c r="F34" s="760"/>
      <c r="G34" s="760"/>
      <c r="H34" s="760"/>
      <c r="I34" s="760"/>
      <c r="J34" s="760"/>
      <c r="K34" s="760"/>
      <c r="L34" s="760"/>
    </row>
    <row r="35" spans="1:12" x14ac:dyDescent="0.25">
      <c r="A35" s="760"/>
      <c r="B35" s="760"/>
      <c r="C35" s="760"/>
      <c r="D35" s="760"/>
      <c r="E35" s="760"/>
      <c r="F35" s="760"/>
      <c r="G35" s="760"/>
      <c r="H35" s="760"/>
      <c r="I35" s="760"/>
      <c r="J35" s="760"/>
      <c r="K35" s="760"/>
      <c r="L35" s="760"/>
    </row>
    <row r="36" spans="1:12" x14ac:dyDescent="0.25">
      <c r="A36" s="760"/>
      <c r="B36" s="760"/>
      <c r="C36" s="760"/>
      <c r="D36" s="760"/>
      <c r="E36" s="760"/>
      <c r="F36" s="760"/>
      <c r="G36" s="760"/>
      <c r="H36" s="760"/>
      <c r="I36" s="760"/>
      <c r="J36" s="760"/>
      <c r="K36" s="760"/>
      <c r="L36" s="760"/>
    </row>
    <row r="37" spans="1:12" x14ac:dyDescent="0.25">
      <c r="A37" s="760"/>
      <c r="B37" s="760"/>
      <c r="C37" s="760"/>
      <c r="D37" s="760"/>
      <c r="E37" s="760"/>
      <c r="F37" s="760"/>
      <c r="G37" s="760"/>
      <c r="H37" s="760"/>
      <c r="I37" s="760"/>
      <c r="J37" s="760"/>
      <c r="K37" s="760"/>
      <c r="L37" s="760"/>
    </row>
    <row r="38" spans="1:12" x14ac:dyDescent="0.25">
      <c r="A38" s="760"/>
      <c r="B38" s="760"/>
      <c r="C38" s="760"/>
      <c r="D38" s="760"/>
      <c r="E38" s="760"/>
      <c r="F38" s="760"/>
      <c r="G38" s="760"/>
      <c r="H38" s="760"/>
      <c r="I38" s="760"/>
      <c r="J38" s="760"/>
      <c r="K38" s="760"/>
      <c r="L38" s="760"/>
    </row>
    <row r="39" spans="1:12" x14ac:dyDescent="0.25">
      <c r="A39" s="760"/>
      <c r="B39" s="760"/>
      <c r="C39" s="760"/>
      <c r="D39" s="760"/>
      <c r="E39" s="760"/>
      <c r="F39" s="760"/>
      <c r="G39" s="760"/>
      <c r="H39" s="760"/>
      <c r="I39" s="760"/>
      <c r="J39" s="760"/>
      <c r="K39" s="760"/>
      <c r="L39" s="760"/>
    </row>
    <row r="40" spans="1:12" x14ac:dyDescent="0.25">
      <c r="A40" s="760"/>
      <c r="B40" s="760"/>
      <c r="C40" s="760"/>
      <c r="D40" s="760"/>
      <c r="E40" s="760"/>
      <c r="F40" s="760"/>
      <c r="G40" s="760"/>
      <c r="H40" s="760"/>
      <c r="I40" s="760"/>
      <c r="J40" s="760"/>
      <c r="K40" s="760"/>
      <c r="L40" s="760"/>
    </row>
    <row r="41" spans="1:12" x14ac:dyDescent="0.25">
      <c r="A41" s="760"/>
      <c r="B41" s="760"/>
      <c r="C41" s="760"/>
      <c r="D41" s="760"/>
      <c r="E41" s="760"/>
      <c r="F41" s="760"/>
      <c r="G41" s="760"/>
      <c r="H41" s="760"/>
      <c r="I41" s="760"/>
      <c r="J41" s="760"/>
      <c r="K41" s="760"/>
      <c r="L41" s="760"/>
    </row>
    <row r="42" spans="1:12" x14ac:dyDescent="0.25">
      <c r="A42" s="760"/>
      <c r="B42" s="760"/>
      <c r="C42" s="760"/>
      <c r="D42" s="760"/>
      <c r="E42" s="760"/>
      <c r="F42" s="760"/>
      <c r="G42" s="760"/>
      <c r="H42" s="760"/>
      <c r="I42" s="760"/>
      <c r="J42" s="760"/>
      <c r="K42" s="760"/>
      <c r="L42" s="760"/>
    </row>
    <row r="43" spans="1:12" x14ac:dyDescent="0.25">
      <c r="A43" s="760"/>
      <c r="B43" s="760"/>
      <c r="C43" s="760"/>
      <c r="D43" s="760"/>
      <c r="E43" s="760"/>
      <c r="F43" s="760"/>
      <c r="G43" s="760"/>
      <c r="H43" s="760"/>
      <c r="I43" s="760"/>
      <c r="J43" s="760"/>
      <c r="K43" s="760"/>
      <c r="L43" s="760"/>
    </row>
    <row r="44" spans="1:12" x14ac:dyDescent="0.25">
      <c r="A44" s="760"/>
      <c r="B44" s="760"/>
      <c r="C44" s="760"/>
      <c r="D44" s="760"/>
      <c r="E44" s="760"/>
      <c r="F44" s="760"/>
      <c r="G44" s="760"/>
      <c r="H44" s="760"/>
      <c r="I44" s="760"/>
      <c r="J44" s="760"/>
      <c r="K44" s="760"/>
      <c r="L44" s="760"/>
    </row>
    <row r="45" spans="1:12" x14ac:dyDescent="0.25">
      <c r="A45" s="760"/>
      <c r="B45" s="760"/>
      <c r="C45" s="760"/>
      <c r="D45" s="760"/>
      <c r="E45" s="760"/>
      <c r="F45" s="760"/>
      <c r="G45" s="760"/>
      <c r="H45" s="760"/>
      <c r="I45" s="760"/>
      <c r="J45" s="760"/>
      <c r="K45" s="760"/>
      <c r="L45" s="760"/>
    </row>
    <row r="46" spans="1:12" x14ac:dyDescent="0.25">
      <c r="A46" s="760"/>
      <c r="B46" s="760"/>
      <c r="C46" s="760"/>
      <c r="D46" s="760"/>
      <c r="E46" s="760"/>
      <c r="F46" s="760"/>
      <c r="G46" s="760"/>
      <c r="H46" s="760"/>
      <c r="I46" s="760"/>
      <c r="J46" s="760"/>
      <c r="K46" s="760"/>
      <c r="L46" s="760"/>
    </row>
    <row r="47" spans="1:12" x14ac:dyDescent="0.25">
      <c r="A47" s="760"/>
      <c r="B47" s="760"/>
      <c r="C47" s="760"/>
      <c r="D47" s="760"/>
      <c r="E47" s="760"/>
      <c r="F47" s="760"/>
      <c r="G47" s="760"/>
      <c r="H47" s="760"/>
      <c r="I47" s="760"/>
      <c r="J47" s="760"/>
      <c r="K47" s="760"/>
      <c r="L47" s="760"/>
    </row>
    <row r="48" spans="1:12" x14ac:dyDescent="0.25">
      <c r="A48" s="760"/>
      <c r="B48" s="760"/>
      <c r="C48" s="760"/>
      <c r="D48" s="760"/>
      <c r="E48" s="760"/>
      <c r="F48" s="760"/>
      <c r="G48" s="760"/>
      <c r="H48" s="760"/>
      <c r="I48" s="760"/>
      <c r="J48" s="760"/>
      <c r="K48" s="760"/>
      <c r="L48" s="760"/>
    </row>
    <row r="49" spans="1:12" x14ac:dyDescent="0.25">
      <c r="A49" s="760"/>
      <c r="B49" s="760"/>
      <c r="C49" s="760"/>
      <c r="D49" s="760"/>
      <c r="E49" s="760"/>
      <c r="F49" s="760"/>
      <c r="G49" s="760"/>
      <c r="H49" s="760"/>
      <c r="I49" s="760"/>
      <c r="J49" s="760"/>
      <c r="K49" s="760"/>
      <c r="L49" s="760"/>
    </row>
    <row r="50" spans="1:12" x14ac:dyDescent="0.25">
      <c r="A50" s="760"/>
      <c r="B50" s="760"/>
      <c r="C50" s="760"/>
      <c r="D50" s="760"/>
      <c r="E50" s="760"/>
      <c r="F50" s="760"/>
      <c r="G50" s="760"/>
      <c r="H50" s="760"/>
      <c r="I50" s="760"/>
      <c r="J50" s="760"/>
      <c r="K50" s="760"/>
      <c r="L50" s="760"/>
    </row>
  </sheetData>
  <mergeCells count="2">
    <mergeCell ref="A2:L2"/>
    <mergeCell ref="B1:L1"/>
  </mergeCells>
  <phoneticPr fontId="15" type="noConversion"/>
  <pageMargins left="0.75" right="0.75" top="0.5" bottom="1" header="0.5" footer="0.5"/>
  <pageSetup scale="83" fitToHeight="2" orientation="portrait" horizontalDpi="355" verticalDpi="355" r:id="rId1"/>
  <headerFooter alignWithMargins="0"/>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pageSetUpPr fitToPage="1"/>
  </sheetPr>
  <dimension ref="A1:G53"/>
  <sheetViews>
    <sheetView workbookViewId="0">
      <selection sqref="A1:G1"/>
    </sheetView>
  </sheetViews>
  <sheetFormatPr defaultColWidth="7.88671875" defaultRowHeight="13.2" x14ac:dyDescent="0.25"/>
  <cols>
    <col min="1" max="1" width="21" style="248" bestFit="1" customWidth="1"/>
    <col min="2" max="2" width="0" style="248" hidden="1" customWidth="1"/>
    <col min="3" max="16384" width="7.88671875" style="248"/>
  </cols>
  <sheetData>
    <row r="1" spans="1:7" ht="39" customHeight="1" x14ac:dyDescent="0.25">
      <c r="A1" s="1776" t="s">
        <v>1166</v>
      </c>
      <c r="B1" s="1776"/>
      <c r="C1" s="1776"/>
      <c r="D1" s="1776"/>
      <c r="E1" s="1776"/>
      <c r="F1" s="1776"/>
      <c r="G1" s="1776"/>
    </row>
    <row r="2" spans="1:7" x14ac:dyDescent="0.25">
      <c r="A2" s="1396"/>
      <c r="B2" s="1396"/>
      <c r="C2" s="1396"/>
      <c r="D2" s="1396"/>
      <c r="E2" s="1396"/>
      <c r="F2" s="1397"/>
      <c r="G2" s="1397"/>
    </row>
    <row r="3" spans="1:7" x14ac:dyDescent="0.25">
      <c r="A3" s="325" t="s">
        <v>1167</v>
      </c>
      <c r="B3" s="250">
        <v>2007</v>
      </c>
      <c r="C3" s="250">
        <v>2008</v>
      </c>
      <c r="D3" s="250">
        <v>2009</v>
      </c>
      <c r="E3" s="250">
        <v>2010</v>
      </c>
      <c r="F3" s="1398">
        <v>2011</v>
      </c>
      <c r="G3" s="250">
        <v>2012</v>
      </c>
    </row>
    <row r="4" spans="1:7" ht="12.75" customHeight="1" x14ac:dyDescent="0.3">
      <c r="A4" s="431"/>
      <c r="B4" s="432"/>
      <c r="C4" s="432"/>
      <c r="D4" s="432"/>
      <c r="E4" s="432"/>
      <c r="F4" s="432"/>
      <c r="G4" s="432"/>
    </row>
    <row r="5" spans="1:7" x14ac:dyDescent="0.25">
      <c r="A5" s="251" t="s">
        <v>1168</v>
      </c>
      <c r="B5" s="252">
        <v>0</v>
      </c>
      <c r="C5" s="252">
        <v>2</v>
      </c>
      <c r="D5" s="252">
        <v>3</v>
      </c>
      <c r="E5" s="252">
        <v>6</v>
      </c>
      <c r="F5" s="252">
        <v>3</v>
      </c>
      <c r="G5" s="252">
        <v>2</v>
      </c>
    </row>
    <row r="6" spans="1:7" x14ac:dyDescent="0.25">
      <c r="A6" s="1003" t="s">
        <v>562</v>
      </c>
      <c r="B6" s="252">
        <v>0</v>
      </c>
      <c r="C6" s="252">
        <v>0</v>
      </c>
      <c r="D6" s="252">
        <v>1</v>
      </c>
      <c r="E6" s="252">
        <v>1</v>
      </c>
      <c r="F6" s="252">
        <v>1</v>
      </c>
      <c r="G6" s="252">
        <v>2</v>
      </c>
    </row>
    <row r="7" spans="1:7" x14ac:dyDescent="0.25">
      <c r="A7" s="251" t="s">
        <v>382</v>
      </c>
      <c r="B7" s="252">
        <v>0</v>
      </c>
      <c r="C7" s="252">
        <v>0</v>
      </c>
      <c r="D7" s="252">
        <v>0</v>
      </c>
      <c r="E7" s="252">
        <v>0</v>
      </c>
      <c r="F7" s="252">
        <v>0</v>
      </c>
      <c r="G7" s="252">
        <v>0</v>
      </c>
    </row>
    <row r="8" spans="1:7" x14ac:dyDescent="0.25">
      <c r="A8" s="251" t="s">
        <v>1169</v>
      </c>
      <c r="B8" s="252">
        <v>0</v>
      </c>
      <c r="C8" s="252">
        <v>0</v>
      </c>
      <c r="D8" s="252">
        <v>0</v>
      </c>
      <c r="E8" s="252">
        <v>0</v>
      </c>
      <c r="F8" s="252">
        <v>0</v>
      </c>
      <c r="G8" s="252">
        <v>0</v>
      </c>
    </row>
    <row r="9" spans="1:7" x14ac:dyDescent="0.25">
      <c r="A9" s="251" t="s">
        <v>1170</v>
      </c>
      <c r="B9" s="252">
        <v>0</v>
      </c>
      <c r="C9" s="252">
        <v>0</v>
      </c>
      <c r="D9" s="252">
        <v>0</v>
      </c>
      <c r="E9" s="252">
        <v>0</v>
      </c>
      <c r="F9" s="252">
        <v>1</v>
      </c>
      <c r="G9" s="252">
        <v>1</v>
      </c>
    </row>
    <row r="10" spans="1:7" x14ac:dyDescent="0.25">
      <c r="A10" s="1003" t="s">
        <v>1452</v>
      </c>
      <c r="B10" s="252">
        <v>0</v>
      </c>
      <c r="C10" s="252">
        <v>0</v>
      </c>
      <c r="D10" s="252">
        <v>0</v>
      </c>
      <c r="E10" s="252">
        <v>1</v>
      </c>
      <c r="F10" s="252">
        <v>3</v>
      </c>
      <c r="G10" s="252">
        <v>2</v>
      </c>
    </row>
    <row r="11" spans="1:7" x14ac:dyDescent="0.25">
      <c r="A11" s="251" t="s">
        <v>1171</v>
      </c>
      <c r="B11" s="252">
        <v>1</v>
      </c>
      <c r="C11" s="252">
        <v>3</v>
      </c>
      <c r="D11" s="252">
        <v>4</v>
      </c>
      <c r="E11" s="252">
        <v>3</v>
      </c>
      <c r="F11" s="252">
        <v>1</v>
      </c>
      <c r="G11" s="252">
        <v>1</v>
      </c>
    </row>
    <row r="12" spans="1:7" x14ac:dyDescent="0.25">
      <c r="A12" s="251" t="s">
        <v>1172</v>
      </c>
      <c r="B12" s="252">
        <v>1</v>
      </c>
      <c r="C12" s="252">
        <v>2</v>
      </c>
      <c r="D12" s="252">
        <v>1</v>
      </c>
      <c r="E12" s="252">
        <v>1</v>
      </c>
      <c r="F12" s="252">
        <v>1</v>
      </c>
      <c r="G12" s="252">
        <v>0</v>
      </c>
    </row>
    <row r="13" spans="1:7" x14ac:dyDescent="0.25">
      <c r="A13" s="251" t="s">
        <v>1173</v>
      </c>
      <c r="B13" s="252">
        <v>0</v>
      </c>
      <c r="C13" s="252">
        <v>2</v>
      </c>
      <c r="D13" s="252">
        <v>1</v>
      </c>
      <c r="E13" s="252">
        <v>0</v>
      </c>
      <c r="F13" s="252">
        <v>0</v>
      </c>
      <c r="G13" s="252">
        <v>0</v>
      </c>
    </row>
    <row r="14" spans="1:7" x14ac:dyDescent="0.25">
      <c r="A14" s="251" t="s">
        <v>1175</v>
      </c>
      <c r="B14" s="252">
        <v>7</v>
      </c>
      <c r="C14" s="252">
        <v>12</v>
      </c>
      <c r="D14" s="252">
        <v>21</v>
      </c>
      <c r="E14" s="252">
        <v>27</v>
      </c>
      <c r="F14" s="252">
        <v>23</v>
      </c>
      <c r="G14" s="252">
        <v>21</v>
      </c>
    </row>
    <row r="15" spans="1:7" x14ac:dyDescent="0.25">
      <c r="A15" s="251" t="s">
        <v>1176</v>
      </c>
      <c r="B15" s="252">
        <v>22</v>
      </c>
      <c r="C15" s="252">
        <v>39</v>
      </c>
      <c r="D15" s="252">
        <v>48</v>
      </c>
      <c r="E15" s="252">
        <v>46</v>
      </c>
      <c r="F15" s="252">
        <v>51</v>
      </c>
      <c r="G15" s="252">
        <v>60</v>
      </c>
    </row>
    <row r="16" spans="1:7" x14ac:dyDescent="0.25">
      <c r="A16" s="1003" t="s">
        <v>564</v>
      </c>
      <c r="B16" s="252">
        <v>0</v>
      </c>
      <c r="C16" s="252">
        <v>0</v>
      </c>
      <c r="D16" s="252">
        <v>0</v>
      </c>
      <c r="E16" s="252">
        <v>0</v>
      </c>
      <c r="F16" s="252">
        <v>1</v>
      </c>
      <c r="G16" s="252">
        <v>1</v>
      </c>
    </row>
    <row r="17" spans="1:7" x14ac:dyDescent="0.25">
      <c r="A17" s="251" t="s">
        <v>1177</v>
      </c>
      <c r="B17" s="252">
        <v>0</v>
      </c>
      <c r="C17" s="252">
        <v>0</v>
      </c>
      <c r="D17" s="252">
        <v>0</v>
      </c>
      <c r="E17" s="252">
        <v>0</v>
      </c>
      <c r="F17" s="252">
        <v>0</v>
      </c>
      <c r="G17" s="252">
        <v>0</v>
      </c>
    </row>
    <row r="18" spans="1:7" x14ac:dyDescent="0.25">
      <c r="A18" s="251" t="s">
        <v>1178</v>
      </c>
      <c r="B18" s="252">
        <v>3</v>
      </c>
      <c r="C18" s="252">
        <v>2</v>
      </c>
      <c r="D18" s="252">
        <v>3</v>
      </c>
      <c r="E18" s="252">
        <v>3</v>
      </c>
      <c r="F18" s="252">
        <v>4</v>
      </c>
      <c r="G18" s="252">
        <v>3</v>
      </c>
    </row>
    <row r="19" spans="1:7" x14ac:dyDescent="0.25">
      <c r="A19" s="251" t="s">
        <v>1179</v>
      </c>
      <c r="B19" s="252">
        <v>2</v>
      </c>
      <c r="C19" s="252">
        <v>5</v>
      </c>
      <c r="D19" s="252">
        <v>2</v>
      </c>
      <c r="E19" s="252">
        <v>2</v>
      </c>
      <c r="F19" s="252">
        <v>2</v>
      </c>
      <c r="G19" s="252">
        <v>0</v>
      </c>
    </row>
    <row r="20" spans="1:7" x14ac:dyDescent="0.25">
      <c r="A20" s="251" t="s">
        <v>565</v>
      </c>
      <c r="B20" s="252">
        <v>0</v>
      </c>
      <c r="C20" s="252">
        <v>0</v>
      </c>
      <c r="D20" s="252">
        <v>1</v>
      </c>
      <c r="E20" s="252">
        <v>0</v>
      </c>
      <c r="F20" s="252">
        <v>0</v>
      </c>
      <c r="G20" s="252">
        <v>0</v>
      </c>
    </row>
    <row r="21" spans="1:7" x14ac:dyDescent="0.25">
      <c r="A21" s="251" t="s">
        <v>1180</v>
      </c>
      <c r="B21" s="252">
        <v>0</v>
      </c>
      <c r="C21" s="252">
        <v>0</v>
      </c>
      <c r="D21" s="252">
        <v>1</v>
      </c>
      <c r="E21" s="252">
        <v>2</v>
      </c>
      <c r="F21" s="252">
        <v>2</v>
      </c>
      <c r="G21" s="252">
        <v>2</v>
      </c>
    </row>
    <row r="22" spans="1:7" x14ac:dyDescent="0.25">
      <c r="A22" s="1003" t="s">
        <v>1181</v>
      </c>
      <c r="B22" s="252">
        <v>0</v>
      </c>
      <c r="C22" s="252">
        <v>1</v>
      </c>
      <c r="D22" s="252">
        <v>2</v>
      </c>
      <c r="E22" s="252">
        <v>1</v>
      </c>
      <c r="F22" s="252">
        <v>0</v>
      </c>
      <c r="G22" s="252">
        <v>0</v>
      </c>
    </row>
    <row r="23" spans="1:7" x14ac:dyDescent="0.25">
      <c r="A23" s="1003" t="s">
        <v>1182</v>
      </c>
      <c r="B23" s="252">
        <v>0</v>
      </c>
      <c r="C23" s="252">
        <v>1</v>
      </c>
      <c r="D23" s="252">
        <v>1</v>
      </c>
      <c r="E23" s="252">
        <v>2</v>
      </c>
      <c r="F23" s="252">
        <v>1</v>
      </c>
      <c r="G23" s="252">
        <v>1</v>
      </c>
    </row>
    <row r="24" spans="1:7" x14ac:dyDescent="0.25">
      <c r="A24" s="1003" t="s">
        <v>1183</v>
      </c>
      <c r="B24" s="252">
        <v>0</v>
      </c>
      <c r="C24" s="252">
        <v>0</v>
      </c>
      <c r="D24" s="252">
        <v>0</v>
      </c>
      <c r="E24" s="252">
        <v>0</v>
      </c>
      <c r="F24" s="252">
        <v>1</v>
      </c>
      <c r="G24" s="252">
        <v>0</v>
      </c>
    </row>
    <row r="25" spans="1:7" x14ac:dyDescent="0.25">
      <c r="A25" s="251" t="s">
        <v>1184</v>
      </c>
      <c r="B25" s="252">
        <v>2</v>
      </c>
      <c r="C25" s="252">
        <v>1</v>
      </c>
      <c r="D25" s="252">
        <v>1</v>
      </c>
      <c r="E25" s="252">
        <v>0</v>
      </c>
      <c r="F25" s="252">
        <v>0</v>
      </c>
      <c r="G25" s="252">
        <v>0</v>
      </c>
    </row>
    <row r="26" spans="1:7" x14ac:dyDescent="0.25">
      <c r="A26" s="251" t="s">
        <v>1185</v>
      </c>
      <c r="B26" s="252">
        <v>0</v>
      </c>
      <c r="C26" s="252">
        <v>0</v>
      </c>
      <c r="D26" s="252">
        <v>0</v>
      </c>
      <c r="E26" s="252">
        <v>0</v>
      </c>
      <c r="F26" s="252">
        <v>0</v>
      </c>
      <c r="G26" s="252">
        <v>0</v>
      </c>
    </row>
    <row r="27" spans="1:7" x14ac:dyDescent="0.25">
      <c r="A27" s="251" t="s">
        <v>1186</v>
      </c>
      <c r="B27" s="252">
        <v>1</v>
      </c>
      <c r="C27" s="252">
        <v>0</v>
      </c>
      <c r="D27" s="252">
        <v>0</v>
      </c>
      <c r="E27" s="252">
        <v>0</v>
      </c>
      <c r="F27" s="252">
        <v>0</v>
      </c>
      <c r="G27" s="252">
        <v>1</v>
      </c>
    </row>
    <row r="28" spans="1:7" x14ac:dyDescent="0.25">
      <c r="A28" s="251" t="s">
        <v>1187</v>
      </c>
      <c r="B28" s="252">
        <v>2</v>
      </c>
      <c r="C28" s="252">
        <v>1</v>
      </c>
      <c r="D28" s="252">
        <v>1</v>
      </c>
      <c r="E28" s="252">
        <v>1</v>
      </c>
      <c r="F28" s="252">
        <v>0</v>
      </c>
      <c r="G28" s="252">
        <v>0</v>
      </c>
    </row>
    <row r="29" spans="1:7" x14ac:dyDescent="0.25">
      <c r="A29" s="251" t="s">
        <v>1188</v>
      </c>
      <c r="B29" s="252">
        <v>1</v>
      </c>
      <c r="C29" s="252">
        <v>0</v>
      </c>
      <c r="D29" s="252">
        <v>0</v>
      </c>
      <c r="E29" s="252">
        <v>0</v>
      </c>
      <c r="F29" s="252">
        <v>0</v>
      </c>
      <c r="G29" s="252">
        <v>0</v>
      </c>
    </row>
    <row r="30" spans="1:7" x14ac:dyDescent="0.25">
      <c r="A30" s="251" t="s">
        <v>1189</v>
      </c>
      <c r="B30" s="252">
        <v>3</v>
      </c>
      <c r="C30" s="252">
        <v>2</v>
      </c>
      <c r="D30" s="252">
        <v>3</v>
      </c>
      <c r="E30" s="252">
        <v>3</v>
      </c>
      <c r="F30" s="252">
        <v>4</v>
      </c>
      <c r="G30" s="252">
        <v>1</v>
      </c>
    </row>
    <row r="31" spans="1:7" x14ac:dyDescent="0.25">
      <c r="A31" s="251" t="s">
        <v>1191</v>
      </c>
      <c r="B31" s="252">
        <v>0</v>
      </c>
      <c r="C31" s="252">
        <v>0</v>
      </c>
      <c r="D31" s="252">
        <v>1</v>
      </c>
      <c r="E31" s="252">
        <v>1</v>
      </c>
      <c r="F31" s="252">
        <v>1</v>
      </c>
      <c r="G31" s="252">
        <v>0</v>
      </c>
    </row>
    <row r="32" spans="1:7" x14ac:dyDescent="0.25">
      <c r="A32" s="251" t="s">
        <v>1192</v>
      </c>
      <c r="B32" s="252">
        <v>3</v>
      </c>
      <c r="C32" s="252">
        <v>3</v>
      </c>
      <c r="D32" s="252">
        <v>4</v>
      </c>
      <c r="E32" s="252">
        <v>3</v>
      </c>
      <c r="F32" s="252">
        <v>3</v>
      </c>
      <c r="G32" s="252">
        <v>4</v>
      </c>
    </row>
    <row r="33" spans="1:7" x14ac:dyDescent="0.25">
      <c r="A33" s="251" t="s">
        <v>1193</v>
      </c>
      <c r="B33" s="252">
        <v>4</v>
      </c>
      <c r="C33" s="252">
        <v>5</v>
      </c>
      <c r="D33" s="252">
        <v>7</v>
      </c>
      <c r="E33" s="252">
        <v>5</v>
      </c>
      <c r="F33" s="252">
        <v>5</v>
      </c>
      <c r="G33" s="252">
        <v>3</v>
      </c>
    </row>
    <row r="34" spans="1:7" x14ac:dyDescent="0.25">
      <c r="A34" s="251" t="s">
        <v>1194</v>
      </c>
      <c r="B34" s="252">
        <v>9</v>
      </c>
      <c r="C34" s="252">
        <v>20</v>
      </c>
      <c r="D34" s="252">
        <v>20</v>
      </c>
      <c r="E34" s="252">
        <v>29</v>
      </c>
      <c r="F34" s="252">
        <v>25</v>
      </c>
      <c r="G34" s="252">
        <v>28</v>
      </c>
    </row>
    <row r="35" spans="1:7" x14ac:dyDescent="0.25">
      <c r="A35" s="251" t="s">
        <v>1195</v>
      </c>
      <c r="B35" s="252">
        <v>4</v>
      </c>
      <c r="C35" s="252">
        <v>6</v>
      </c>
      <c r="D35" s="252">
        <v>9</v>
      </c>
      <c r="E35" s="252">
        <v>7</v>
      </c>
      <c r="F35" s="252">
        <v>7</v>
      </c>
      <c r="G35" s="252">
        <v>5</v>
      </c>
    </row>
    <row r="36" spans="1:7" x14ac:dyDescent="0.25">
      <c r="A36" s="1003" t="s">
        <v>1196</v>
      </c>
      <c r="B36" s="252">
        <v>0</v>
      </c>
      <c r="C36" s="252">
        <v>1</v>
      </c>
      <c r="D36" s="252">
        <v>0</v>
      </c>
      <c r="E36" s="252">
        <v>0</v>
      </c>
      <c r="F36" s="252">
        <v>0</v>
      </c>
      <c r="G36" s="252">
        <v>0</v>
      </c>
    </row>
    <row r="37" spans="1:7" x14ac:dyDescent="0.25">
      <c r="A37" s="251" t="s">
        <v>1197</v>
      </c>
      <c r="B37" s="252">
        <v>1</v>
      </c>
      <c r="C37" s="252">
        <v>0</v>
      </c>
      <c r="D37" s="252">
        <v>0</v>
      </c>
      <c r="E37" s="252">
        <v>0</v>
      </c>
      <c r="F37" s="252">
        <v>0</v>
      </c>
      <c r="G37" s="252">
        <v>0</v>
      </c>
    </row>
    <row r="38" spans="1:7" x14ac:dyDescent="0.25">
      <c r="A38" s="253" t="s">
        <v>1198</v>
      </c>
      <c r="B38" s="252">
        <v>3</v>
      </c>
      <c r="C38" s="252">
        <v>3</v>
      </c>
      <c r="D38" s="252">
        <v>1</v>
      </c>
      <c r="E38" s="252">
        <v>1</v>
      </c>
      <c r="F38" s="252">
        <v>2</v>
      </c>
      <c r="G38" s="252">
        <v>4</v>
      </c>
    </row>
    <row r="39" spans="1:7" x14ac:dyDescent="0.25">
      <c r="A39" s="254" t="s">
        <v>383</v>
      </c>
      <c r="B39" s="252">
        <v>0</v>
      </c>
      <c r="C39" s="252">
        <v>0</v>
      </c>
      <c r="D39" s="252">
        <v>0</v>
      </c>
      <c r="E39" s="252">
        <v>0</v>
      </c>
      <c r="F39" s="252">
        <v>0</v>
      </c>
      <c r="G39" s="252">
        <v>0</v>
      </c>
    </row>
    <row r="40" spans="1:7" x14ac:dyDescent="0.25">
      <c r="A40" s="254" t="s">
        <v>1199</v>
      </c>
      <c r="B40" s="252">
        <v>1</v>
      </c>
      <c r="C40" s="252">
        <v>0</v>
      </c>
      <c r="D40" s="252">
        <v>0</v>
      </c>
      <c r="E40" s="252">
        <v>0</v>
      </c>
      <c r="F40" s="252">
        <v>1</v>
      </c>
      <c r="G40" s="252">
        <v>1</v>
      </c>
    </row>
    <row r="41" spans="1:7" x14ac:dyDescent="0.25">
      <c r="A41" s="255" t="s">
        <v>1200</v>
      </c>
      <c r="B41" s="256">
        <v>2268</v>
      </c>
      <c r="C41" s="256">
        <v>2424</v>
      </c>
      <c r="D41" s="1308">
        <v>2627</v>
      </c>
      <c r="E41" s="1308">
        <v>2837</v>
      </c>
      <c r="F41" s="1308">
        <v>2851</v>
      </c>
      <c r="G41" s="1308">
        <v>2807</v>
      </c>
    </row>
    <row r="42" spans="1:7" x14ac:dyDescent="0.25">
      <c r="A42" s="254" t="s">
        <v>569</v>
      </c>
      <c r="B42" s="252">
        <v>0</v>
      </c>
      <c r="C42" s="252">
        <v>0</v>
      </c>
      <c r="D42" s="252">
        <v>0</v>
      </c>
      <c r="E42" s="252">
        <v>0</v>
      </c>
      <c r="F42" s="252">
        <v>0</v>
      </c>
      <c r="G42" s="252">
        <v>0</v>
      </c>
    </row>
    <row r="43" spans="1:7" x14ac:dyDescent="0.25">
      <c r="A43" s="251" t="s">
        <v>1201</v>
      </c>
      <c r="B43" s="252">
        <v>2</v>
      </c>
      <c r="C43" s="252">
        <v>5</v>
      </c>
      <c r="D43" s="252">
        <v>4</v>
      </c>
      <c r="E43" s="252">
        <v>3</v>
      </c>
      <c r="F43" s="252">
        <v>2</v>
      </c>
      <c r="G43" s="252">
        <v>4</v>
      </c>
    </row>
    <row r="44" spans="1:7" x14ac:dyDescent="0.25">
      <c r="A44" s="251" t="s">
        <v>1202</v>
      </c>
      <c r="B44" s="252">
        <v>4</v>
      </c>
      <c r="C44" s="252">
        <v>4</v>
      </c>
      <c r="D44" s="252">
        <v>2</v>
      </c>
      <c r="E44" s="252">
        <v>5</v>
      </c>
      <c r="F44" s="252">
        <v>4</v>
      </c>
      <c r="G44" s="252">
        <v>5</v>
      </c>
    </row>
    <row r="45" spans="1:7" x14ac:dyDescent="0.25">
      <c r="A45" s="251" t="s">
        <v>1203</v>
      </c>
      <c r="B45" s="252">
        <v>0</v>
      </c>
      <c r="C45" s="252">
        <v>1</v>
      </c>
      <c r="D45" s="252">
        <v>0</v>
      </c>
      <c r="E45" s="252">
        <v>0</v>
      </c>
      <c r="F45" s="252">
        <v>0</v>
      </c>
      <c r="G45" s="252">
        <v>0</v>
      </c>
    </row>
    <row r="46" spans="1:7" x14ac:dyDescent="0.25">
      <c r="A46" s="251" t="s">
        <v>1204</v>
      </c>
      <c r="B46" s="252">
        <v>2</v>
      </c>
      <c r="C46" s="252">
        <v>2</v>
      </c>
      <c r="D46" s="252">
        <v>4</v>
      </c>
      <c r="E46" s="252">
        <v>6</v>
      </c>
      <c r="F46" s="252">
        <v>5</v>
      </c>
      <c r="G46" s="252">
        <v>5</v>
      </c>
    </row>
    <row r="47" spans="1:7" x14ac:dyDescent="0.25">
      <c r="A47" s="251" t="s">
        <v>1205</v>
      </c>
      <c r="B47" s="252">
        <v>3</v>
      </c>
      <c r="C47" s="252">
        <v>0</v>
      </c>
      <c r="D47" s="252">
        <v>2</v>
      </c>
      <c r="E47" s="252">
        <v>2</v>
      </c>
      <c r="F47" s="252">
        <v>2</v>
      </c>
      <c r="G47" s="252">
        <v>1</v>
      </c>
    </row>
    <row r="48" spans="1:7" x14ac:dyDescent="0.25">
      <c r="A48" s="1003" t="s">
        <v>1206</v>
      </c>
      <c r="B48" s="252">
        <v>0</v>
      </c>
      <c r="C48" s="252">
        <v>1</v>
      </c>
      <c r="D48" s="252">
        <v>3</v>
      </c>
      <c r="E48" s="252">
        <v>1</v>
      </c>
      <c r="F48" s="252">
        <v>1</v>
      </c>
      <c r="G48" s="252">
        <v>0</v>
      </c>
    </row>
    <row r="49" spans="1:7" x14ac:dyDescent="0.25">
      <c r="A49" s="251" t="s">
        <v>1207</v>
      </c>
      <c r="B49" s="252">
        <v>0</v>
      </c>
      <c r="C49" s="252">
        <v>0</v>
      </c>
      <c r="D49" s="252">
        <v>1</v>
      </c>
      <c r="E49" s="252">
        <v>1</v>
      </c>
      <c r="F49" s="252">
        <v>1</v>
      </c>
      <c r="G49" s="252">
        <v>0</v>
      </c>
    </row>
    <row r="50" spans="1:7" ht="12.75" customHeight="1" x14ac:dyDescent="0.3">
      <c r="A50" s="431"/>
      <c r="B50" s="432"/>
      <c r="C50" s="432"/>
      <c r="D50" s="432"/>
      <c r="E50" s="432"/>
      <c r="F50" s="432"/>
      <c r="G50" s="432"/>
    </row>
    <row r="51" spans="1:7" x14ac:dyDescent="0.25">
      <c r="A51" s="257" t="s">
        <v>1208</v>
      </c>
      <c r="B51" s="256">
        <v>59</v>
      </c>
      <c r="C51" s="256">
        <v>66</v>
      </c>
      <c r="D51" s="256">
        <v>59</v>
      </c>
      <c r="E51" s="256">
        <v>60</v>
      </c>
      <c r="F51" s="256">
        <v>60</v>
      </c>
      <c r="G51" s="256">
        <v>84</v>
      </c>
    </row>
    <row r="52" spans="1:7" ht="12.75" customHeight="1" x14ac:dyDescent="0.3">
      <c r="A52" s="431"/>
      <c r="B52" s="432"/>
      <c r="C52" s="432"/>
      <c r="D52" s="432"/>
      <c r="E52" s="432"/>
      <c r="F52" s="432"/>
      <c r="G52" s="432"/>
    </row>
    <row r="53" spans="1:7" x14ac:dyDescent="0.25">
      <c r="A53" s="257" t="s">
        <v>949</v>
      </c>
      <c r="B53" s="256">
        <f t="shared" ref="B53:G53" si="0">SUM(B5:B51)</f>
        <v>2408</v>
      </c>
      <c r="C53" s="256">
        <f t="shared" si="0"/>
        <v>2614</v>
      </c>
      <c r="D53" s="256">
        <f t="shared" si="0"/>
        <v>2838</v>
      </c>
      <c r="E53" s="256">
        <f t="shared" si="0"/>
        <v>3060</v>
      </c>
      <c r="F53" s="1308">
        <f t="shared" si="0"/>
        <v>3069</v>
      </c>
      <c r="G53" s="256">
        <f t="shared" si="0"/>
        <v>3049</v>
      </c>
    </row>
  </sheetData>
  <mergeCells count="1">
    <mergeCell ref="A1:G1"/>
  </mergeCells>
  <phoneticPr fontId="15" type="noConversion"/>
  <printOptions horizontalCentered="1" verticalCentered="1"/>
  <pageMargins left="0.75" right="0.75" top="1" bottom="1" header="0.5" footer="0.5"/>
  <pageSetup scale="93" orientation="portrait" horizontalDpi="4294967294" r:id="rId1"/>
  <headerFooter alignWithMargins="0">
    <oddFooter>&amp;L&amp;8Source: Office of Institutional Research</oddFooter>
  </headerFooter>
  <webPublishItems count="1">
    <webPublishItem id="30013" divId="2001_2002 FACT BOOK FINAL COPY_30013" sourceType="sheet" destinationFile="U:\My Documents\2004-2005 FACT BOOK\2004-2005 fact book WEB PAGES\04-05geodistributionbySTATE.htm"/>
  </webPublishItem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pageSetUpPr fitToPage="1"/>
  </sheetPr>
  <dimension ref="A1:H57"/>
  <sheetViews>
    <sheetView workbookViewId="0">
      <selection sqref="A1:G1"/>
    </sheetView>
  </sheetViews>
  <sheetFormatPr defaultColWidth="7.88671875" defaultRowHeight="13.2" x14ac:dyDescent="0.25"/>
  <cols>
    <col min="1" max="1" width="17.33203125" style="258" customWidth="1"/>
    <col min="2" max="2" width="7.88671875" style="258" hidden="1" customWidth="1"/>
    <col min="3" max="5" width="7.88671875" style="258" customWidth="1"/>
    <col min="6" max="16384" width="7.88671875" style="258"/>
  </cols>
  <sheetData>
    <row r="1" spans="1:8" ht="71.25" customHeight="1" x14ac:dyDescent="0.25">
      <c r="A1" s="1777" t="s">
        <v>1304</v>
      </c>
      <c r="B1" s="1777"/>
      <c r="C1" s="1777"/>
      <c r="D1" s="1777"/>
      <c r="E1" s="1777"/>
      <c r="F1" s="1777"/>
      <c r="G1" s="1777"/>
    </row>
    <row r="2" spans="1:8" x14ac:dyDescent="0.25">
      <c r="A2" s="259"/>
      <c r="B2" s="259"/>
      <c r="C2" s="259"/>
      <c r="D2" s="259"/>
      <c r="E2" s="259"/>
    </row>
    <row r="3" spans="1:8" x14ac:dyDescent="0.25">
      <c r="A3" s="322" t="s">
        <v>1209</v>
      </c>
      <c r="B3" s="260">
        <v>2007</v>
      </c>
      <c r="C3" s="260">
        <v>2008</v>
      </c>
      <c r="D3" s="260">
        <v>2009</v>
      </c>
      <c r="E3" s="260">
        <v>2010</v>
      </c>
      <c r="F3" s="260">
        <v>2011</v>
      </c>
      <c r="G3" s="260">
        <v>2012</v>
      </c>
    </row>
    <row r="4" spans="1:8" s="266" customFormat="1" ht="12.75" customHeight="1" x14ac:dyDescent="0.3">
      <c r="A4" s="447"/>
      <c r="B4" s="448"/>
      <c r="C4" s="448"/>
      <c r="D4" s="448"/>
      <c r="E4" s="448"/>
      <c r="F4" s="448"/>
      <c r="G4" s="448"/>
    </row>
    <row r="5" spans="1:8" x14ac:dyDescent="0.25">
      <c r="A5" s="261" t="s">
        <v>1210</v>
      </c>
      <c r="B5" s="262">
        <v>120</v>
      </c>
      <c r="C5" s="262">
        <v>135</v>
      </c>
      <c r="D5" s="262">
        <v>136</v>
      </c>
      <c r="E5" s="262">
        <v>136</v>
      </c>
      <c r="F5" s="262">
        <v>155</v>
      </c>
      <c r="G5" s="262">
        <v>149</v>
      </c>
    </row>
    <row r="6" spans="1:8" x14ac:dyDescent="0.25">
      <c r="A6" s="263" t="s">
        <v>1211</v>
      </c>
      <c r="B6" s="264">
        <v>41</v>
      </c>
      <c r="C6" s="264">
        <v>45</v>
      </c>
      <c r="D6" s="264">
        <v>57</v>
      </c>
      <c r="E6" s="264">
        <v>70</v>
      </c>
      <c r="F6" s="264">
        <v>59</v>
      </c>
      <c r="G6" s="264">
        <v>69</v>
      </c>
    </row>
    <row r="7" spans="1:8" x14ac:dyDescent="0.25">
      <c r="A7" s="263" t="s">
        <v>1212</v>
      </c>
      <c r="B7" s="264">
        <v>2</v>
      </c>
      <c r="C7" s="264">
        <v>3</v>
      </c>
      <c r="D7" s="264">
        <v>3</v>
      </c>
      <c r="E7" s="264">
        <v>3</v>
      </c>
      <c r="F7" s="264">
        <v>3</v>
      </c>
      <c r="G7" s="264">
        <v>3</v>
      </c>
    </row>
    <row r="8" spans="1:8" x14ac:dyDescent="0.25">
      <c r="A8" s="263" t="s">
        <v>1213</v>
      </c>
      <c r="B8" s="264">
        <v>188</v>
      </c>
      <c r="C8" s="264">
        <v>191</v>
      </c>
      <c r="D8" s="264">
        <v>216</v>
      </c>
      <c r="E8" s="264">
        <v>239</v>
      </c>
      <c r="F8" s="264">
        <v>240</v>
      </c>
      <c r="G8" s="264">
        <v>230</v>
      </c>
      <c r="H8" s="983"/>
    </row>
    <row r="9" spans="1:8" x14ac:dyDescent="0.25">
      <c r="A9" s="263" t="s">
        <v>1214</v>
      </c>
      <c r="B9" s="264">
        <v>7</v>
      </c>
      <c r="C9" s="264">
        <v>7</v>
      </c>
      <c r="D9" s="264">
        <v>9</v>
      </c>
      <c r="E9" s="264">
        <v>10</v>
      </c>
      <c r="F9" s="264">
        <v>10</v>
      </c>
      <c r="G9" s="264">
        <v>6</v>
      </c>
    </row>
    <row r="10" spans="1:8" x14ac:dyDescent="0.25">
      <c r="A10" s="263" t="s">
        <v>1215</v>
      </c>
      <c r="B10" s="264">
        <v>20</v>
      </c>
      <c r="C10" s="264">
        <v>17</v>
      </c>
      <c r="D10" s="264">
        <v>23</v>
      </c>
      <c r="E10" s="264">
        <v>9</v>
      </c>
      <c r="F10" s="264">
        <v>14</v>
      </c>
      <c r="G10" s="264">
        <v>23</v>
      </c>
    </row>
    <row r="11" spans="1:8" x14ac:dyDescent="0.25">
      <c r="A11" s="263" t="s">
        <v>1216</v>
      </c>
      <c r="B11" s="264">
        <v>14</v>
      </c>
      <c r="C11" s="264">
        <v>11</v>
      </c>
      <c r="D11" s="264">
        <v>18</v>
      </c>
      <c r="E11" s="264">
        <v>16</v>
      </c>
      <c r="F11" s="264">
        <v>21</v>
      </c>
      <c r="G11" s="264">
        <v>22</v>
      </c>
    </row>
    <row r="12" spans="1:8" x14ac:dyDescent="0.25">
      <c r="A12" s="265" t="s">
        <v>559</v>
      </c>
      <c r="B12" s="264">
        <v>33</v>
      </c>
      <c r="C12" s="264">
        <v>36</v>
      </c>
      <c r="D12" s="264">
        <v>48</v>
      </c>
      <c r="E12" s="264">
        <v>62</v>
      </c>
      <c r="F12" s="264">
        <v>55</v>
      </c>
      <c r="G12" s="264">
        <v>52</v>
      </c>
    </row>
    <row r="13" spans="1:8" x14ac:dyDescent="0.25">
      <c r="A13" s="263" t="s">
        <v>1217</v>
      </c>
      <c r="B13" s="264">
        <v>2</v>
      </c>
      <c r="C13" s="264">
        <v>3</v>
      </c>
      <c r="D13" s="264">
        <v>3</v>
      </c>
      <c r="E13" s="264">
        <v>4</v>
      </c>
      <c r="F13" s="264">
        <v>4</v>
      </c>
      <c r="G13" s="264">
        <v>6</v>
      </c>
    </row>
    <row r="14" spans="1:8" x14ac:dyDescent="0.25">
      <c r="A14" s="263" t="s">
        <v>1218</v>
      </c>
      <c r="B14" s="264">
        <v>47</v>
      </c>
      <c r="C14" s="264">
        <v>38</v>
      </c>
      <c r="D14" s="264">
        <v>41</v>
      </c>
      <c r="E14" s="264">
        <v>55</v>
      </c>
      <c r="F14" s="264">
        <v>55</v>
      </c>
      <c r="G14" s="264">
        <v>49</v>
      </c>
    </row>
    <row r="15" spans="1:8" x14ac:dyDescent="0.25">
      <c r="A15" s="263" t="s">
        <v>1219</v>
      </c>
      <c r="B15" s="264">
        <v>16</v>
      </c>
      <c r="C15" s="264">
        <v>18</v>
      </c>
      <c r="D15" s="264">
        <v>10</v>
      </c>
      <c r="E15" s="264">
        <v>10</v>
      </c>
      <c r="F15" s="264">
        <v>11</v>
      </c>
      <c r="G15" s="264">
        <v>18</v>
      </c>
    </row>
    <row r="16" spans="1:8" x14ac:dyDescent="0.25">
      <c r="A16" s="263" t="s">
        <v>1222</v>
      </c>
      <c r="B16" s="264">
        <v>13</v>
      </c>
      <c r="C16" s="264">
        <v>14</v>
      </c>
      <c r="D16" s="264">
        <v>9</v>
      </c>
      <c r="E16" s="264">
        <v>14</v>
      </c>
      <c r="F16" s="264">
        <v>15</v>
      </c>
      <c r="G16" s="264">
        <v>29</v>
      </c>
    </row>
    <row r="17" spans="1:8" x14ac:dyDescent="0.25">
      <c r="A17" s="263" t="s">
        <v>1223</v>
      </c>
      <c r="B17" s="264">
        <v>12</v>
      </c>
      <c r="C17" s="264">
        <v>16</v>
      </c>
      <c r="D17" s="264">
        <v>26</v>
      </c>
      <c r="E17" s="264">
        <v>22</v>
      </c>
      <c r="F17" s="264">
        <v>22</v>
      </c>
      <c r="G17" s="264">
        <v>17</v>
      </c>
    </row>
    <row r="18" spans="1:8" x14ac:dyDescent="0.25">
      <c r="A18" s="263" t="s">
        <v>1224</v>
      </c>
      <c r="B18" s="264">
        <v>1</v>
      </c>
      <c r="C18" s="264">
        <v>4</v>
      </c>
      <c r="D18" s="264">
        <v>3</v>
      </c>
      <c r="E18" s="264">
        <v>5</v>
      </c>
      <c r="F18" s="264">
        <v>4</v>
      </c>
      <c r="G18" s="264">
        <v>5</v>
      </c>
    </row>
    <row r="19" spans="1:8" x14ac:dyDescent="0.25">
      <c r="A19" s="263" t="s">
        <v>1225</v>
      </c>
      <c r="B19" s="264">
        <v>5</v>
      </c>
      <c r="C19" s="264">
        <v>4</v>
      </c>
      <c r="D19" s="264">
        <v>7</v>
      </c>
      <c r="E19" s="264">
        <v>5</v>
      </c>
      <c r="F19" s="264">
        <v>8</v>
      </c>
      <c r="G19" s="264">
        <v>4</v>
      </c>
    </row>
    <row r="20" spans="1:8" x14ac:dyDescent="0.25">
      <c r="A20" s="263" t="s">
        <v>1226</v>
      </c>
      <c r="B20" s="264">
        <v>10</v>
      </c>
      <c r="C20" s="264">
        <v>11</v>
      </c>
      <c r="D20" s="264">
        <v>16</v>
      </c>
      <c r="E20" s="264">
        <v>17</v>
      </c>
      <c r="F20" s="264">
        <v>19</v>
      </c>
      <c r="G20" s="264">
        <v>25</v>
      </c>
    </row>
    <row r="21" spans="1:8" x14ac:dyDescent="0.25">
      <c r="A21" s="263" t="s">
        <v>1227</v>
      </c>
      <c r="B21" s="264">
        <v>10</v>
      </c>
      <c r="C21" s="264">
        <v>7</v>
      </c>
      <c r="D21" s="264">
        <v>2</v>
      </c>
      <c r="E21" s="264">
        <v>4</v>
      </c>
      <c r="F21" s="264">
        <v>6</v>
      </c>
      <c r="G21" s="264">
        <v>5</v>
      </c>
    </row>
    <row r="22" spans="1:8" x14ac:dyDescent="0.25">
      <c r="A22" s="263" t="s">
        <v>1228</v>
      </c>
      <c r="B22" s="264">
        <v>15</v>
      </c>
      <c r="C22" s="264">
        <v>17</v>
      </c>
      <c r="D22" s="264">
        <v>21</v>
      </c>
      <c r="E22" s="264">
        <v>25</v>
      </c>
      <c r="F22" s="264">
        <v>26</v>
      </c>
      <c r="G22" s="264">
        <v>31</v>
      </c>
    </row>
    <row r="23" spans="1:8" x14ac:dyDescent="0.25">
      <c r="A23" s="261" t="s">
        <v>1229</v>
      </c>
      <c r="B23" s="262">
        <v>26</v>
      </c>
      <c r="C23" s="262">
        <v>26</v>
      </c>
      <c r="D23" s="262">
        <v>30</v>
      </c>
      <c r="E23" s="262">
        <v>21</v>
      </c>
      <c r="F23" s="262">
        <v>21</v>
      </c>
      <c r="G23" s="262">
        <v>18</v>
      </c>
    </row>
    <row r="24" spans="1:8" x14ac:dyDescent="0.25">
      <c r="A24" s="263" t="s">
        <v>1230</v>
      </c>
      <c r="B24" s="264">
        <v>12</v>
      </c>
      <c r="C24" s="264">
        <v>8</v>
      </c>
      <c r="D24" s="264">
        <v>14</v>
      </c>
      <c r="E24" s="264">
        <v>25</v>
      </c>
      <c r="F24" s="264">
        <v>29</v>
      </c>
      <c r="G24" s="264">
        <v>34</v>
      </c>
    </row>
    <row r="25" spans="1:8" x14ac:dyDescent="0.25">
      <c r="A25" s="263" t="s">
        <v>1231</v>
      </c>
      <c r="B25" s="264">
        <v>22</v>
      </c>
      <c r="C25" s="264">
        <v>24</v>
      </c>
      <c r="D25" s="264">
        <v>26</v>
      </c>
      <c r="E25" s="264">
        <v>42</v>
      </c>
      <c r="F25" s="264">
        <v>35</v>
      </c>
      <c r="G25" s="264">
        <v>36</v>
      </c>
    </row>
    <row r="26" spans="1:8" x14ac:dyDescent="0.25">
      <c r="A26" s="263" t="s">
        <v>1232</v>
      </c>
      <c r="B26" s="264">
        <v>4</v>
      </c>
      <c r="C26" s="264">
        <v>11</v>
      </c>
      <c r="D26" s="264">
        <v>9</v>
      </c>
      <c r="E26" s="264">
        <v>18</v>
      </c>
      <c r="F26" s="264">
        <v>16</v>
      </c>
      <c r="G26" s="264">
        <v>17</v>
      </c>
    </row>
    <row r="27" spans="1:8" x14ac:dyDescent="0.25">
      <c r="A27" s="263" t="s">
        <v>1233</v>
      </c>
      <c r="B27" s="264">
        <v>241</v>
      </c>
      <c r="C27" s="264">
        <v>233</v>
      </c>
      <c r="D27" s="264">
        <v>274</v>
      </c>
      <c r="E27" s="264">
        <v>277</v>
      </c>
      <c r="F27" s="264">
        <v>289</v>
      </c>
      <c r="G27" s="264">
        <v>262</v>
      </c>
      <c r="H27" s="983"/>
    </row>
    <row r="28" spans="1:8" x14ac:dyDescent="0.25">
      <c r="A28" s="261" t="s">
        <v>1234</v>
      </c>
      <c r="B28" s="262">
        <v>604</v>
      </c>
      <c r="C28" s="262">
        <v>688</v>
      </c>
      <c r="D28" s="1309">
        <v>684</v>
      </c>
      <c r="E28" s="1309">
        <v>644</v>
      </c>
      <c r="F28" s="1309">
        <v>592</v>
      </c>
      <c r="G28" s="1309">
        <v>583</v>
      </c>
    </row>
    <row r="29" spans="1:8" x14ac:dyDescent="0.25">
      <c r="A29" s="263" t="s">
        <v>1235</v>
      </c>
      <c r="B29" s="264">
        <v>3</v>
      </c>
      <c r="C29" s="264">
        <v>3</v>
      </c>
      <c r="D29" s="264">
        <v>12</v>
      </c>
      <c r="E29" s="264">
        <v>8</v>
      </c>
      <c r="F29" s="264">
        <v>6</v>
      </c>
      <c r="G29" s="264">
        <v>6</v>
      </c>
    </row>
    <row r="30" spans="1:8" x14ac:dyDescent="0.25">
      <c r="A30" s="263" t="s">
        <v>1236</v>
      </c>
      <c r="B30" s="264">
        <v>8</v>
      </c>
      <c r="C30" s="264">
        <v>11</v>
      </c>
      <c r="D30" s="264">
        <v>21</v>
      </c>
      <c r="E30" s="264">
        <v>24</v>
      </c>
      <c r="F30" s="264">
        <v>19</v>
      </c>
      <c r="G30" s="264">
        <v>12</v>
      </c>
    </row>
    <row r="31" spans="1:8" x14ac:dyDescent="0.25">
      <c r="A31" s="263" t="s">
        <v>1237</v>
      </c>
      <c r="B31" s="264">
        <v>1</v>
      </c>
      <c r="C31" s="264">
        <v>1</v>
      </c>
      <c r="D31" s="264">
        <v>2</v>
      </c>
      <c r="E31" s="264">
        <v>2</v>
      </c>
      <c r="F31" s="264">
        <v>4</v>
      </c>
      <c r="G31" s="264">
        <v>4</v>
      </c>
    </row>
    <row r="32" spans="1:8" x14ac:dyDescent="0.25">
      <c r="A32" s="263" t="s">
        <v>1238</v>
      </c>
      <c r="B32" s="264">
        <v>14</v>
      </c>
      <c r="C32" s="264">
        <v>13</v>
      </c>
      <c r="D32" s="264">
        <v>14</v>
      </c>
      <c r="E32" s="264">
        <v>29</v>
      </c>
      <c r="F32" s="264">
        <v>36</v>
      </c>
      <c r="G32" s="264">
        <v>29</v>
      </c>
    </row>
    <row r="33" spans="1:8" x14ac:dyDescent="0.25">
      <c r="A33" s="263" t="s">
        <v>1239</v>
      </c>
      <c r="B33" s="264">
        <v>10</v>
      </c>
      <c r="C33" s="264">
        <v>11</v>
      </c>
      <c r="D33" s="264">
        <v>17</v>
      </c>
      <c r="E33" s="264">
        <v>17</v>
      </c>
      <c r="F33" s="264">
        <v>22</v>
      </c>
      <c r="G33" s="264">
        <v>21</v>
      </c>
    </row>
    <row r="34" spans="1:8" x14ac:dyDescent="0.25">
      <c r="A34" s="261" t="s">
        <v>1240</v>
      </c>
      <c r="B34" s="262">
        <v>156</v>
      </c>
      <c r="C34" s="262">
        <v>169</v>
      </c>
      <c r="D34" s="262">
        <v>159</v>
      </c>
      <c r="E34" s="262">
        <v>183</v>
      </c>
      <c r="F34" s="262">
        <v>187</v>
      </c>
      <c r="G34" s="262">
        <v>170</v>
      </c>
      <c r="H34" s="983"/>
    </row>
    <row r="35" spans="1:8" x14ac:dyDescent="0.25">
      <c r="A35" s="263" t="s">
        <v>1241</v>
      </c>
      <c r="B35" s="264">
        <v>2</v>
      </c>
      <c r="C35" s="264">
        <v>3</v>
      </c>
      <c r="D35" s="264">
        <v>3</v>
      </c>
      <c r="E35" s="264">
        <v>4</v>
      </c>
      <c r="F35" s="264">
        <v>6</v>
      </c>
      <c r="G35" s="264">
        <v>6</v>
      </c>
    </row>
    <row r="36" spans="1:8" x14ac:dyDescent="0.25">
      <c r="A36" s="263" t="s">
        <v>1242</v>
      </c>
      <c r="B36" s="264">
        <v>121</v>
      </c>
      <c r="C36" s="264">
        <v>106</v>
      </c>
      <c r="D36" s="264">
        <v>122</v>
      </c>
      <c r="E36" s="264">
        <v>170</v>
      </c>
      <c r="F36" s="264">
        <v>164</v>
      </c>
      <c r="G36" s="264">
        <v>151</v>
      </c>
    </row>
    <row r="37" spans="1:8" x14ac:dyDescent="0.25">
      <c r="A37" s="263" t="s">
        <v>1243</v>
      </c>
      <c r="B37" s="264">
        <v>3</v>
      </c>
      <c r="C37" s="264">
        <v>1</v>
      </c>
      <c r="D37" s="264">
        <v>6</v>
      </c>
      <c r="E37" s="264">
        <v>5</v>
      </c>
      <c r="F37" s="264">
        <v>7</v>
      </c>
      <c r="G37" s="264">
        <v>7</v>
      </c>
    </row>
    <row r="38" spans="1:8" x14ac:dyDescent="0.25">
      <c r="A38" s="263" t="s">
        <v>1244</v>
      </c>
      <c r="B38" s="264">
        <v>3</v>
      </c>
      <c r="C38" s="264">
        <v>6</v>
      </c>
      <c r="D38" s="264">
        <v>4</v>
      </c>
      <c r="E38" s="264">
        <v>7</v>
      </c>
      <c r="F38" s="264">
        <v>7</v>
      </c>
      <c r="G38" s="264">
        <v>9</v>
      </c>
    </row>
    <row r="39" spans="1:8" x14ac:dyDescent="0.25">
      <c r="A39" s="261" t="s">
        <v>1246</v>
      </c>
      <c r="B39" s="262">
        <v>25</v>
      </c>
      <c r="C39" s="262">
        <v>26</v>
      </c>
      <c r="D39" s="262">
        <v>24</v>
      </c>
      <c r="E39" s="262">
        <v>24</v>
      </c>
      <c r="F39" s="262">
        <v>16</v>
      </c>
      <c r="G39" s="262">
        <v>16</v>
      </c>
    </row>
    <row r="40" spans="1:8" x14ac:dyDescent="0.25">
      <c r="A40" s="261" t="s">
        <v>1247</v>
      </c>
      <c r="B40" s="262">
        <v>60</v>
      </c>
      <c r="C40" s="262">
        <v>62</v>
      </c>
      <c r="D40" s="262">
        <v>64</v>
      </c>
      <c r="E40" s="262">
        <v>55</v>
      </c>
      <c r="F40" s="262">
        <v>52</v>
      </c>
      <c r="G40" s="262">
        <v>54</v>
      </c>
    </row>
    <row r="41" spans="1:8" x14ac:dyDescent="0.25">
      <c r="A41" s="263" t="s">
        <v>1248</v>
      </c>
      <c r="B41" s="264">
        <v>23</v>
      </c>
      <c r="C41" s="264">
        <v>30</v>
      </c>
      <c r="D41" s="264">
        <v>25</v>
      </c>
      <c r="E41" s="264">
        <v>37</v>
      </c>
      <c r="F41" s="264">
        <v>29</v>
      </c>
      <c r="G41" s="264">
        <v>32</v>
      </c>
    </row>
    <row r="42" spans="1:8" x14ac:dyDescent="0.25">
      <c r="A42" s="263" t="s">
        <v>1249</v>
      </c>
      <c r="B42" s="264">
        <v>20</v>
      </c>
      <c r="C42" s="264">
        <v>22</v>
      </c>
      <c r="D42" s="264">
        <v>27</v>
      </c>
      <c r="E42" s="264">
        <v>35</v>
      </c>
      <c r="F42" s="264">
        <v>41</v>
      </c>
      <c r="G42" s="264">
        <v>48</v>
      </c>
    </row>
    <row r="43" spans="1:8" x14ac:dyDescent="0.25">
      <c r="A43" s="263" t="s">
        <v>1250</v>
      </c>
      <c r="B43" s="264">
        <v>40</v>
      </c>
      <c r="C43" s="264">
        <v>38</v>
      </c>
      <c r="D43" s="264">
        <v>33</v>
      </c>
      <c r="E43" s="264">
        <v>37</v>
      </c>
      <c r="F43" s="264">
        <v>45</v>
      </c>
      <c r="G43" s="264">
        <v>44</v>
      </c>
    </row>
    <row r="44" spans="1:8" x14ac:dyDescent="0.25">
      <c r="A44" s="265" t="s">
        <v>1251</v>
      </c>
      <c r="B44" s="264">
        <v>112</v>
      </c>
      <c r="C44" s="264">
        <v>126</v>
      </c>
      <c r="D44" s="264">
        <v>156</v>
      </c>
      <c r="E44" s="264">
        <v>171</v>
      </c>
      <c r="F44" s="264">
        <v>196</v>
      </c>
      <c r="G44" s="264">
        <v>216</v>
      </c>
    </row>
    <row r="45" spans="1:8" x14ac:dyDescent="0.25">
      <c r="A45" s="261" t="s">
        <v>1252</v>
      </c>
      <c r="B45" s="262">
        <v>44</v>
      </c>
      <c r="C45" s="262">
        <v>54</v>
      </c>
      <c r="D45" s="262">
        <v>58</v>
      </c>
      <c r="E45" s="262">
        <v>59</v>
      </c>
      <c r="F45" s="262">
        <v>51</v>
      </c>
      <c r="G45" s="262">
        <v>37</v>
      </c>
    </row>
    <row r="46" spans="1:8" x14ac:dyDescent="0.25">
      <c r="A46" s="265" t="s">
        <v>1253</v>
      </c>
      <c r="B46" s="264">
        <v>80</v>
      </c>
      <c r="C46" s="264">
        <v>88</v>
      </c>
      <c r="D46" s="264">
        <v>95</v>
      </c>
      <c r="E46" s="264">
        <v>111</v>
      </c>
      <c r="F46" s="264">
        <v>126</v>
      </c>
      <c r="G46" s="264">
        <v>110</v>
      </c>
      <c r="H46" s="983"/>
    </row>
    <row r="47" spans="1:8" x14ac:dyDescent="0.25">
      <c r="A47" s="263" t="s">
        <v>1254</v>
      </c>
      <c r="B47" s="264">
        <v>13</v>
      </c>
      <c r="C47" s="264">
        <v>19</v>
      </c>
      <c r="D47" s="264">
        <v>34</v>
      </c>
      <c r="E47" s="264">
        <v>34</v>
      </c>
      <c r="F47" s="264">
        <v>30</v>
      </c>
      <c r="G47" s="264">
        <v>24</v>
      </c>
    </row>
    <row r="48" spans="1:8" x14ac:dyDescent="0.25">
      <c r="A48" s="263" t="s">
        <v>1255</v>
      </c>
      <c r="B48" s="264">
        <v>20</v>
      </c>
      <c r="C48" s="264">
        <v>22</v>
      </c>
      <c r="D48" s="264">
        <v>19</v>
      </c>
      <c r="E48" s="264">
        <v>29</v>
      </c>
      <c r="F48" s="264">
        <v>30</v>
      </c>
      <c r="G48" s="264">
        <v>26</v>
      </c>
    </row>
    <row r="49" spans="1:7" x14ac:dyDescent="0.25">
      <c r="A49" s="263" t="s">
        <v>1262</v>
      </c>
      <c r="B49" s="264">
        <v>12</v>
      </c>
      <c r="C49" s="264">
        <v>9</v>
      </c>
      <c r="D49" s="264">
        <v>9</v>
      </c>
      <c r="E49" s="264">
        <v>15</v>
      </c>
      <c r="F49" s="264">
        <v>10</v>
      </c>
      <c r="G49" s="264">
        <v>16</v>
      </c>
    </row>
    <row r="50" spans="1:7" x14ac:dyDescent="0.25">
      <c r="A50" s="263" t="s">
        <v>1263</v>
      </c>
      <c r="B50" s="264">
        <v>33</v>
      </c>
      <c r="C50" s="264">
        <v>37</v>
      </c>
      <c r="D50" s="264">
        <v>38</v>
      </c>
      <c r="E50" s="264">
        <v>48</v>
      </c>
      <c r="F50" s="264">
        <v>58</v>
      </c>
      <c r="G50" s="264">
        <v>76</v>
      </c>
    </row>
    <row r="51" spans="1:7" x14ac:dyDescent="0.25">
      <c r="A51" s="445"/>
      <c r="B51" s="446"/>
      <c r="C51" s="446"/>
      <c r="D51" s="446"/>
      <c r="E51" s="446"/>
      <c r="F51" s="446"/>
      <c r="G51" s="446"/>
    </row>
    <row r="52" spans="1:7" x14ac:dyDescent="0.25">
      <c r="A52" s="263" t="s">
        <v>1264</v>
      </c>
      <c r="B52" s="264">
        <f t="shared" ref="B52:G52" si="0">SUM(B5:B50)</f>
        <v>2268</v>
      </c>
      <c r="C52" s="264">
        <f t="shared" si="0"/>
        <v>2424</v>
      </c>
      <c r="D52" s="264">
        <f t="shared" si="0"/>
        <v>2627</v>
      </c>
      <c r="E52" s="264">
        <f t="shared" si="0"/>
        <v>2837</v>
      </c>
      <c r="F52" s="264">
        <f t="shared" si="0"/>
        <v>2851</v>
      </c>
      <c r="G52" s="264">
        <f t="shared" si="0"/>
        <v>2807</v>
      </c>
    </row>
    <row r="53" spans="1:7" x14ac:dyDescent="0.25">
      <c r="A53" s="263" t="s">
        <v>1265</v>
      </c>
      <c r="B53" s="264">
        <v>81</v>
      </c>
      <c r="C53" s="264">
        <v>124</v>
      </c>
      <c r="D53" s="264">
        <v>152</v>
      </c>
      <c r="E53" s="264">
        <v>163</v>
      </c>
      <c r="F53" s="264">
        <v>158</v>
      </c>
      <c r="G53" s="264">
        <v>158</v>
      </c>
    </row>
    <row r="54" spans="1:7" x14ac:dyDescent="0.25">
      <c r="A54" s="263" t="s">
        <v>1208</v>
      </c>
      <c r="B54" s="264">
        <v>59</v>
      </c>
      <c r="C54" s="264">
        <v>66</v>
      </c>
      <c r="D54" s="264">
        <v>59</v>
      </c>
      <c r="E54" s="264">
        <v>60</v>
      </c>
      <c r="F54" s="264">
        <v>60</v>
      </c>
      <c r="G54" s="264">
        <v>84</v>
      </c>
    </row>
    <row r="55" spans="1:7" x14ac:dyDescent="0.25">
      <c r="A55" s="445"/>
      <c r="B55" s="446"/>
      <c r="C55" s="446"/>
      <c r="D55" s="446"/>
      <c r="E55" s="446"/>
      <c r="F55" s="446"/>
      <c r="G55" s="446"/>
    </row>
    <row r="56" spans="1:7" x14ac:dyDescent="0.25">
      <c r="A56" s="261" t="s">
        <v>949</v>
      </c>
      <c r="B56" s="262">
        <f t="shared" ref="B56:G56" si="1">SUM(B52:B54)</f>
        <v>2408</v>
      </c>
      <c r="C56" s="262">
        <f t="shared" si="1"/>
        <v>2614</v>
      </c>
      <c r="D56" s="262">
        <f t="shared" si="1"/>
        <v>2838</v>
      </c>
      <c r="E56" s="262">
        <f t="shared" si="1"/>
        <v>3060</v>
      </c>
      <c r="F56" s="262">
        <f t="shared" si="1"/>
        <v>3069</v>
      </c>
      <c r="G56" s="262">
        <f t="shared" si="1"/>
        <v>3049</v>
      </c>
    </row>
    <row r="57" spans="1:7" x14ac:dyDescent="0.25">
      <c r="D57" s="248"/>
      <c r="E57" s="248"/>
      <c r="F57" s="248"/>
      <c r="G57" s="248"/>
    </row>
  </sheetData>
  <mergeCells count="1">
    <mergeCell ref="A1:G1"/>
  </mergeCells>
  <phoneticPr fontId="15" type="noConversion"/>
  <printOptions horizontalCentered="1" verticalCentered="1"/>
  <pageMargins left="0.75" right="0.75" top="1" bottom="1" header="0.5" footer="0.5"/>
  <pageSetup scale="86" orientation="portrait" r:id="rId1"/>
  <headerFooter alignWithMargins="0">
    <oddFooter>&amp;L&amp;9Source: Office of Institutional Research</oddFooter>
  </headerFooter>
  <webPublishItems count="1">
    <webPublishItem id="27457" divId="2001_2002 FACT BOOK FINAL COPY_27457" sourceType="sheet" destinationFile="C:\Documents and Settings\mkirkpatrick\My Documents\2005-2006 Fact Book\2005-2006 WEB PAGES\05-06geodistributionbyCOUNTY.htm"/>
  </webPublishItem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pageSetUpPr fitToPage="1"/>
  </sheetPr>
  <dimension ref="A1:IV35"/>
  <sheetViews>
    <sheetView workbookViewId="0"/>
  </sheetViews>
  <sheetFormatPr defaultColWidth="7.88671875" defaultRowHeight="13.2" x14ac:dyDescent="0.25"/>
  <cols>
    <col min="1" max="9" width="7.88671875" style="273"/>
    <col min="10" max="10" width="7.6640625" style="273" customWidth="1"/>
    <col min="11" max="16384" width="7.88671875" style="273"/>
  </cols>
  <sheetData>
    <row r="1" spans="1:256" s="274" customFormat="1" ht="21.6" x14ac:dyDescent="0.4">
      <c r="A1" s="275" t="s">
        <v>1292</v>
      </c>
      <c r="B1" s="275"/>
      <c r="C1" s="275"/>
      <c r="D1" s="275"/>
      <c r="E1" s="275"/>
      <c r="F1" s="275"/>
      <c r="G1" s="275"/>
      <c r="H1" s="275"/>
      <c r="I1" s="275"/>
      <c r="J1" s="275"/>
      <c r="K1" s="275"/>
      <c r="L1" s="275"/>
      <c r="M1" s="275"/>
      <c r="N1" s="275"/>
      <c r="O1" s="275"/>
      <c r="P1" s="275"/>
      <c r="Q1" s="275"/>
      <c r="R1" s="275"/>
      <c r="S1" s="275"/>
    </row>
    <row r="2" spans="1:256" x14ac:dyDescent="0.25">
      <c r="A2" s="276"/>
      <c r="B2" s="276"/>
      <c r="C2" s="276"/>
      <c r="D2" s="276"/>
      <c r="E2" s="276"/>
      <c r="F2" s="276"/>
      <c r="G2" s="276"/>
      <c r="H2" s="276"/>
      <c r="I2" s="276"/>
      <c r="J2" s="276"/>
      <c r="K2" s="276"/>
      <c r="L2" s="276"/>
      <c r="M2" s="276"/>
      <c r="N2" s="276"/>
      <c r="O2" s="276"/>
      <c r="P2" s="276"/>
      <c r="Q2" s="276"/>
      <c r="R2" s="276"/>
      <c r="S2" s="276"/>
      <c r="T2" s="276"/>
      <c r="U2" s="276"/>
      <c r="V2" s="276"/>
      <c r="W2" s="276"/>
      <c r="X2" s="276"/>
      <c r="Y2" s="276"/>
      <c r="Z2" s="276"/>
      <c r="AA2" s="276"/>
      <c r="AB2" s="276"/>
      <c r="AC2" s="276"/>
      <c r="AD2" s="276"/>
      <c r="AE2" s="276"/>
      <c r="AF2" s="276"/>
      <c r="AG2" s="276"/>
      <c r="AH2" s="276"/>
      <c r="AI2" s="276"/>
      <c r="AJ2" s="276"/>
      <c r="AK2" s="276"/>
      <c r="AL2" s="276"/>
      <c r="AM2" s="276"/>
      <c r="AN2" s="276"/>
      <c r="AO2" s="276"/>
      <c r="AP2" s="276"/>
      <c r="AQ2" s="276"/>
      <c r="AR2" s="276"/>
      <c r="AS2" s="276"/>
      <c r="AT2" s="276"/>
      <c r="AU2" s="276"/>
      <c r="AV2" s="276"/>
      <c r="AW2" s="276"/>
      <c r="AX2" s="276"/>
      <c r="AY2" s="276"/>
      <c r="AZ2" s="276"/>
      <c r="BA2" s="276"/>
      <c r="BB2" s="276"/>
      <c r="BC2" s="276"/>
      <c r="BD2" s="276"/>
      <c r="BE2" s="276"/>
      <c r="BF2" s="276"/>
      <c r="BG2" s="276"/>
      <c r="BH2" s="276"/>
      <c r="BI2" s="276"/>
      <c r="BJ2" s="276"/>
      <c r="BK2" s="276"/>
      <c r="BL2" s="276"/>
      <c r="BM2" s="276"/>
      <c r="BN2" s="276"/>
      <c r="BO2" s="276"/>
      <c r="BP2" s="276"/>
      <c r="BQ2" s="276"/>
      <c r="BR2" s="276"/>
      <c r="BS2" s="276"/>
      <c r="BT2" s="276"/>
      <c r="BU2" s="276"/>
      <c r="BV2" s="276"/>
      <c r="BW2" s="276"/>
      <c r="BX2" s="276"/>
      <c r="BY2" s="276"/>
      <c r="BZ2" s="276"/>
      <c r="CA2" s="276"/>
      <c r="CB2" s="276"/>
      <c r="CC2" s="276"/>
      <c r="CD2" s="276"/>
      <c r="CE2" s="276"/>
      <c r="CF2" s="276"/>
      <c r="CG2" s="276"/>
      <c r="CH2" s="276"/>
      <c r="CI2" s="276"/>
      <c r="CJ2" s="276"/>
      <c r="CK2" s="276"/>
      <c r="CL2" s="276"/>
      <c r="CM2" s="276"/>
      <c r="CN2" s="276"/>
      <c r="CO2" s="276"/>
      <c r="CP2" s="276"/>
      <c r="CQ2" s="276"/>
      <c r="CR2" s="276"/>
      <c r="CS2" s="276"/>
      <c r="CT2" s="276"/>
      <c r="CU2" s="276"/>
      <c r="CV2" s="276"/>
      <c r="CW2" s="276"/>
      <c r="CX2" s="276"/>
      <c r="CY2" s="276"/>
      <c r="CZ2" s="276"/>
      <c r="DA2" s="276"/>
      <c r="DB2" s="276"/>
      <c r="DC2" s="276"/>
      <c r="DD2" s="276"/>
      <c r="DE2" s="276"/>
      <c r="DF2" s="276"/>
      <c r="DG2" s="276"/>
      <c r="DH2" s="276"/>
      <c r="DI2" s="276"/>
      <c r="DJ2" s="276"/>
      <c r="DK2" s="276"/>
      <c r="DL2" s="276"/>
      <c r="DM2" s="276"/>
      <c r="DN2" s="276"/>
      <c r="DO2" s="276"/>
      <c r="DP2" s="276"/>
      <c r="DQ2" s="276"/>
      <c r="DR2" s="276"/>
      <c r="DS2" s="276"/>
      <c r="DT2" s="276"/>
      <c r="DU2" s="276"/>
      <c r="DV2" s="276"/>
      <c r="DW2" s="276"/>
      <c r="DX2" s="276"/>
      <c r="DY2" s="276"/>
      <c r="DZ2" s="276"/>
      <c r="EA2" s="276"/>
      <c r="EB2" s="276"/>
      <c r="EC2" s="276"/>
      <c r="ED2" s="276"/>
      <c r="EE2" s="276"/>
      <c r="EF2" s="276"/>
      <c r="EG2" s="276"/>
      <c r="EH2" s="276"/>
      <c r="EI2" s="276"/>
      <c r="EJ2" s="276"/>
      <c r="EK2" s="276"/>
      <c r="EL2" s="276"/>
      <c r="EM2" s="276"/>
      <c r="EN2" s="276"/>
      <c r="EO2" s="276"/>
      <c r="EP2" s="276"/>
      <c r="EQ2" s="276"/>
      <c r="ER2" s="276"/>
      <c r="ES2" s="276"/>
      <c r="ET2" s="276"/>
      <c r="EU2" s="276"/>
      <c r="EV2" s="276"/>
      <c r="EW2" s="276"/>
      <c r="EX2" s="276"/>
      <c r="EY2" s="276"/>
      <c r="EZ2" s="276"/>
      <c r="FA2" s="276"/>
      <c r="FB2" s="276"/>
      <c r="FC2" s="276"/>
      <c r="FD2" s="276"/>
      <c r="FE2" s="276"/>
      <c r="FF2" s="276"/>
      <c r="FG2" s="276"/>
      <c r="FH2" s="276"/>
      <c r="FI2" s="276"/>
      <c r="FJ2" s="276"/>
      <c r="FK2" s="276"/>
      <c r="FL2" s="276"/>
      <c r="FM2" s="276"/>
      <c r="FN2" s="276"/>
      <c r="FO2" s="276"/>
      <c r="FP2" s="276"/>
      <c r="FQ2" s="276"/>
      <c r="FR2" s="276"/>
      <c r="FS2" s="276"/>
      <c r="FT2" s="276"/>
      <c r="FU2" s="276"/>
      <c r="FV2" s="276"/>
      <c r="FW2" s="276"/>
      <c r="FX2" s="276"/>
      <c r="FY2" s="276"/>
      <c r="FZ2" s="276"/>
      <c r="GA2" s="276"/>
      <c r="GB2" s="276"/>
      <c r="GC2" s="276"/>
      <c r="GD2" s="276"/>
      <c r="GE2" s="276"/>
      <c r="GF2" s="276"/>
      <c r="GG2" s="276"/>
      <c r="GH2" s="276"/>
      <c r="GI2" s="276"/>
      <c r="GJ2" s="276"/>
      <c r="GK2" s="276"/>
      <c r="GL2" s="276"/>
      <c r="GM2" s="276"/>
      <c r="GN2" s="276"/>
      <c r="GO2" s="276"/>
      <c r="GP2" s="276"/>
      <c r="GQ2" s="276"/>
      <c r="GR2" s="276"/>
      <c r="GS2" s="276"/>
      <c r="GT2" s="276"/>
      <c r="GU2" s="276"/>
      <c r="GV2" s="276"/>
      <c r="GW2" s="276"/>
      <c r="GX2" s="276"/>
      <c r="GY2" s="276"/>
      <c r="GZ2" s="276"/>
      <c r="HA2" s="276"/>
      <c r="HB2" s="276"/>
      <c r="HC2" s="276"/>
      <c r="HD2" s="276"/>
      <c r="HE2" s="276"/>
      <c r="HF2" s="276"/>
      <c r="HG2" s="276"/>
      <c r="HH2" s="276"/>
      <c r="HI2" s="276"/>
      <c r="HJ2" s="276"/>
      <c r="HK2" s="276"/>
      <c r="HL2" s="276"/>
      <c r="HM2" s="276"/>
      <c r="HN2" s="276"/>
      <c r="HO2" s="276"/>
      <c r="HP2" s="276"/>
      <c r="HQ2" s="276"/>
      <c r="HR2" s="276"/>
      <c r="HS2" s="276"/>
      <c r="HT2" s="276"/>
      <c r="HU2" s="276"/>
      <c r="HV2" s="276"/>
      <c r="HW2" s="276"/>
      <c r="HX2" s="276"/>
      <c r="HY2" s="276"/>
      <c r="HZ2" s="276"/>
      <c r="IA2" s="276"/>
      <c r="IB2" s="276"/>
      <c r="IC2" s="276"/>
      <c r="ID2" s="276"/>
      <c r="IE2" s="276"/>
      <c r="IF2" s="276"/>
      <c r="IG2" s="276"/>
      <c r="IH2" s="276"/>
      <c r="II2" s="276"/>
      <c r="IJ2" s="276"/>
      <c r="IK2" s="276"/>
      <c r="IL2" s="276"/>
      <c r="IM2" s="276"/>
      <c r="IN2" s="276"/>
      <c r="IO2" s="276"/>
      <c r="IP2" s="276"/>
      <c r="IQ2" s="276"/>
      <c r="IR2" s="276"/>
      <c r="IS2" s="276"/>
      <c r="IT2" s="276"/>
      <c r="IU2" s="276"/>
      <c r="IV2" s="276"/>
    </row>
    <row r="3" spans="1:256" ht="19.5" customHeight="1" x14ac:dyDescent="0.25">
      <c r="A3" s="277"/>
      <c r="B3" s="278" t="s">
        <v>1293</v>
      </c>
      <c r="C3" s="278"/>
      <c r="D3" s="278"/>
      <c r="E3" s="278"/>
      <c r="F3" s="278"/>
      <c r="G3" s="279"/>
      <c r="H3" s="278" t="s">
        <v>1294</v>
      </c>
      <c r="I3" s="278"/>
      <c r="J3" s="278"/>
      <c r="K3" s="278"/>
      <c r="L3" s="278"/>
      <c r="M3" s="279"/>
      <c r="N3" s="278" t="s">
        <v>1151</v>
      </c>
      <c r="O3" s="278"/>
      <c r="P3" s="278"/>
      <c r="Q3" s="278"/>
      <c r="R3" s="278"/>
      <c r="S3" s="279"/>
      <c r="T3" s="276"/>
      <c r="U3" s="276"/>
      <c r="V3" s="276"/>
      <c r="W3" s="276"/>
      <c r="X3" s="276"/>
      <c r="Y3" s="276"/>
      <c r="Z3" s="276"/>
      <c r="AA3" s="276"/>
      <c r="AB3" s="276"/>
      <c r="AC3" s="276"/>
      <c r="AD3" s="276"/>
      <c r="AE3" s="276"/>
      <c r="AF3" s="276"/>
      <c r="AG3" s="276"/>
      <c r="AH3" s="276"/>
      <c r="AI3" s="276"/>
      <c r="AJ3" s="276"/>
      <c r="AK3" s="276"/>
      <c r="AL3" s="276"/>
      <c r="AM3" s="276"/>
      <c r="AN3" s="276"/>
      <c r="AO3" s="276"/>
      <c r="AP3" s="276"/>
      <c r="AQ3" s="276"/>
      <c r="AR3" s="276"/>
      <c r="AS3" s="276"/>
      <c r="AT3" s="276"/>
      <c r="AU3" s="276"/>
      <c r="AV3" s="276"/>
      <c r="AW3" s="276"/>
      <c r="AX3" s="276"/>
      <c r="AY3" s="276"/>
      <c r="AZ3" s="276"/>
      <c r="BA3" s="276"/>
      <c r="BB3" s="276"/>
      <c r="BC3" s="276"/>
      <c r="BD3" s="276"/>
      <c r="BE3" s="276"/>
      <c r="BF3" s="276"/>
      <c r="BG3" s="276"/>
      <c r="BH3" s="276"/>
      <c r="BI3" s="276"/>
      <c r="BJ3" s="276"/>
      <c r="BK3" s="276"/>
      <c r="BL3" s="276"/>
      <c r="BM3" s="276"/>
      <c r="BN3" s="276"/>
      <c r="BO3" s="276"/>
      <c r="BP3" s="276"/>
      <c r="BQ3" s="276"/>
      <c r="BR3" s="276"/>
      <c r="BS3" s="276"/>
      <c r="BT3" s="276"/>
      <c r="BU3" s="276"/>
      <c r="BV3" s="276"/>
      <c r="BW3" s="276"/>
      <c r="BX3" s="276"/>
      <c r="BY3" s="276"/>
      <c r="BZ3" s="276"/>
      <c r="CA3" s="276"/>
      <c r="CB3" s="276"/>
      <c r="CC3" s="276"/>
      <c r="CD3" s="276"/>
      <c r="CE3" s="276"/>
      <c r="CF3" s="276"/>
      <c r="CG3" s="276"/>
      <c r="CH3" s="276"/>
      <c r="CI3" s="276"/>
      <c r="CJ3" s="276"/>
      <c r="CK3" s="276"/>
      <c r="CL3" s="276"/>
      <c r="CM3" s="276"/>
      <c r="CN3" s="276"/>
      <c r="CO3" s="276"/>
      <c r="CP3" s="276"/>
      <c r="CQ3" s="276"/>
      <c r="CR3" s="276"/>
      <c r="CS3" s="276"/>
      <c r="CT3" s="276"/>
      <c r="CU3" s="276"/>
      <c r="CV3" s="276"/>
      <c r="CW3" s="276"/>
      <c r="CX3" s="276"/>
      <c r="CY3" s="276"/>
      <c r="CZ3" s="276"/>
      <c r="DA3" s="276"/>
      <c r="DB3" s="276"/>
      <c r="DC3" s="276"/>
      <c r="DD3" s="276"/>
      <c r="DE3" s="276"/>
      <c r="DF3" s="276"/>
      <c r="DG3" s="276"/>
      <c r="DH3" s="276"/>
      <c r="DI3" s="276"/>
      <c r="DJ3" s="276"/>
      <c r="DK3" s="276"/>
      <c r="DL3" s="276"/>
      <c r="DM3" s="276"/>
      <c r="DN3" s="276"/>
      <c r="DO3" s="276"/>
      <c r="DP3" s="276"/>
      <c r="DQ3" s="276"/>
      <c r="DR3" s="276"/>
      <c r="DS3" s="276"/>
      <c r="DT3" s="276"/>
      <c r="DU3" s="276"/>
      <c r="DV3" s="276"/>
      <c r="DW3" s="276"/>
      <c r="DX3" s="276"/>
      <c r="DY3" s="276"/>
      <c r="DZ3" s="276"/>
      <c r="EA3" s="276"/>
      <c r="EB3" s="276"/>
      <c r="EC3" s="276"/>
      <c r="ED3" s="276"/>
      <c r="EE3" s="276"/>
      <c r="EF3" s="276"/>
      <c r="EG3" s="276"/>
      <c r="EH3" s="276"/>
      <c r="EI3" s="276"/>
      <c r="EJ3" s="276"/>
      <c r="EK3" s="276"/>
      <c r="EL3" s="276"/>
      <c r="EM3" s="276"/>
      <c r="EN3" s="276"/>
      <c r="EO3" s="276"/>
      <c r="EP3" s="276"/>
      <c r="EQ3" s="276"/>
      <c r="ER3" s="276"/>
      <c r="ES3" s="276"/>
      <c r="ET3" s="276"/>
      <c r="EU3" s="276"/>
      <c r="EV3" s="276"/>
      <c r="EW3" s="276"/>
      <c r="EX3" s="276"/>
      <c r="EY3" s="276"/>
      <c r="EZ3" s="276"/>
      <c r="FA3" s="276"/>
      <c r="FB3" s="276"/>
      <c r="FC3" s="276"/>
      <c r="FD3" s="276"/>
      <c r="FE3" s="276"/>
      <c r="FF3" s="276"/>
      <c r="FG3" s="276"/>
      <c r="FH3" s="276"/>
      <c r="FI3" s="276"/>
      <c r="FJ3" s="276"/>
      <c r="FK3" s="276"/>
      <c r="FL3" s="276"/>
      <c r="FM3" s="276"/>
      <c r="FN3" s="276"/>
      <c r="FO3" s="276"/>
      <c r="FP3" s="276"/>
      <c r="FQ3" s="276"/>
      <c r="FR3" s="276"/>
      <c r="FS3" s="276"/>
      <c r="FT3" s="276"/>
      <c r="FU3" s="276"/>
      <c r="FV3" s="276"/>
      <c r="FW3" s="276"/>
      <c r="FX3" s="276"/>
      <c r="FY3" s="276"/>
      <c r="FZ3" s="276"/>
      <c r="GA3" s="276"/>
      <c r="GB3" s="276"/>
      <c r="GC3" s="276"/>
      <c r="GD3" s="276"/>
      <c r="GE3" s="276"/>
      <c r="GF3" s="276"/>
      <c r="GG3" s="276"/>
      <c r="GH3" s="276"/>
      <c r="GI3" s="276"/>
      <c r="GJ3" s="276"/>
      <c r="GK3" s="276"/>
      <c r="GL3" s="276"/>
      <c r="GM3" s="276"/>
      <c r="GN3" s="276"/>
      <c r="GO3" s="276"/>
      <c r="GP3" s="276"/>
      <c r="GQ3" s="276"/>
      <c r="GR3" s="276"/>
      <c r="GS3" s="276"/>
      <c r="GT3" s="276"/>
      <c r="GU3" s="276"/>
      <c r="GV3" s="276"/>
      <c r="GW3" s="276"/>
      <c r="GX3" s="276"/>
      <c r="GY3" s="276"/>
      <c r="GZ3" s="276"/>
      <c r="HA3" s="276"/>
      <c r="HB3" s="276"/>
      <c r="HC3" s="276"/>
      <c r="HD3" s="276"/>
      <c r="HE3" s="276"/>
      <c r="HF3" s="276"/>
      <c r="HG3" s="276"/>
      <c r="HH3" s="276"/>
      <c r="HI3" s="276"/>
      <c r="HJ3" s="276"/>
      <c r="HK3" s="276"/>
      <c r="HL3" s="276"/>
      <c r="HM3" s="276"/>
      <c r="HN3" s="276"/>
      <c r="HO3" s="276"/>
      <c r="HP3" s="276"/>
      <c r="HQ3" s="276"/>
      <c r="HR3" s="276"/>
      <c r="HS3" s="276"/>
      <c r="HT3" s="276"/>
      <c r="HU3" s="276"/>
      <c r="HV3" s="276"/>
      <c r="HW3" s="276"/>
      <c r="HX3" s="276"/>
      <c r="HY3" s="276"/>
      <c r="HZ3" s="276"/>
      <c r="IA3" s="276"/>
      <c r="IB3" s="276"/>
      <c r="IC3" s="276"/>
      <c r="ID3" s="276"/>
      <c r="IE3" s="276"/>
      <c r="IF3" s="276"/>
      <c r="IG3" s="276"/>
      <c r="IH3" s="276"/>
      <c r="II3" s="276"/>
      <c r="IJ3" s="276"/>
      <c r="IK3" s="276"/>
      <c r="IL3" s="276"/>
      <c r="IM3" s="276"/>
      <c r="IN3" s="276"/>
      <c r="IO3" s="276"/>
      <c r="IP3" s="276"/>
      <c r="IQ3" s="276"/>
      <c r="IR3" s="276"/>
      <c r="IS3" s="276"/>
      <c r="IT3" s="276"/>
      <c r="IU3" s="276"/>
      <c r="IV3" s="276"/>
    </row>
    <row r="4" spans="1:256" ht="15.6" x14ac:dyDescent="0.25">
      <c r="A4" s="280" t="s">
        <v>770</v>
      </c>
      <c r="B4" s="281" t="s">
        <v>1021</v>
      </c>
      <c r="C4" s="282"/>
      <c r="D4" s="283" t="s">
        <v>1022</v>
      </c>
      <c r="E4" s="282"/>
      <c r="F4" s="283" t="s">
        <v>780</v>
      </c>
      <c r="G4" s="284"/>
      <c r="H4" s="285" t="s">
        <v>1021</v>
      </c>
      <c r="I4" s="286"/>
      <c r="J4" s="287" t="s">
        <v>1022</v>
      </c>
      <c r="K4" s="286"/>
      <c r="L4" s="287" t="s">
        <v>780</v>
      </c>
      <c r="M4" s="288"/>
      <c r="N4" s="285" t="s">
        <v>1021</v>
      </c>
      <c r="O4" s="286"/>
      <c r="P4" s="287" t="s">
        <v>1022</v>
      </c>
      <c r="Q4" s="286"/>
      <c r="R4" s="287" t="s">
        <v>780</v>
      </c>
      <c r="S4" s="288"/>
      <c r="T4" s="276"/>
      <c r="U4" s="276"/>
      <c r="V4" s="276"/>
      <c r="W4" s="276"/>
      <c r="X4" s="276"/>
      <c r="Y4" s="276"/>
      <c r="Z4" s="276"/>
      <c r="AA4" s="276"/>
      <c r="AB4" s="276"/>
      <c r="AC4" s="276"/>
      <c r="AD4" s="276"/>
      <c r="AE4" s="276"/>
      <c r="AF4" s="276"/>
      <c r="AG4" s="276"/>
      <c r="AH4" s="276"/>
      <c r="AI4" s="276"/>
      <c r="AJ4" s="276"/>
      <c r="AK4" s="276"/>
      <c r="AL4" s="276"/>
      <c r="AM4" s="276"/>
      <c r="AN4" s="276"/>
      <c r="AO4" s="276"/>
      <c r="AP4" s="276"/>
      <c r="AQ4" s="276"/>
      <c r="AR4" s="276"/>
      <c r="AS4" s="276"/>
      <c r="AT4" s="276"/>
      <c r="AU4" s="276"/>
      <c r="AV4" s="276"/>
      <c r="AW4" s="276"/>
      <c r="AX4" s="276"/>
      <c r="AY4" s="276"/>
      <c r="AZ4" s="276"/>
      <c r="BA4" s="276"/>
      <c r="BB4" s="276"/>
      <c r="BC4" s="276"/>
      <c r="BD4" s="276"/>
      <c r="BE4" s="276"/>
      <c r="BF4" s="276"/>
      <c r="BG4" s="276"/>
      <c r="BH4" s="276"/>
      <c r="BI4" s="276"/>
      <c r="BJ4" s="276"/>
      <c r="BK4" s="276"/>
      <c r="BL4" s="276"/>
      <c r="BM4" s="276"/>
      <c r="BN4" s="276"/>
      <c r="BO4" s="276"/>
      <c r="BP4" s="276"/>
      <c r="BQ4" s="276"/>
      <c r="BR4" s="276"/>
      <c r="BS4" s="276"/>
      <c r="BT4" s="276"/>
      <c r="BU4" s="276"/>
      <c r="BV4" s="276"/>
      <c r="BW4" s="276"/>
      <c r="BX4" s="276"/>
      <c r="BY4" s="276"/>
      <c r="BZ4" s="276"/>
      <c r="CA4" s="276"/>
      <c r="CB4" s="276"/>
      <c r="CC4" s="276"/>
      <c r="CD4" s="276"/>
      <c r="CE4" s="276"/>
      <c r="CF4" s="276"/>
      <c r="CG4" s="276"/>
      <c r="CH4" s="276"/>
      <c r="CI4" s="276"/>
      <c r="CJ4" s="276"/>
      <c r="CK4" s="276"/>
      <c r="CL4" s="276"/>
      <c r="CM4" s="276"/>
      <c r="CN4" s="276"/>
      <c r="CO4" s="276"/>
      <c r="CP4" s="276"/>
      <c r="CQ4" s="276"/>
      <c r="CR4" s="276"/>
      <c r="CS4" s="276"/>
      <c r="CT4" s="276"/>
      <c r="CU4" s="276"/>
      <c r="CV4" s="276"/>
      <c r="CW4" s="276"/>
      <c r="CX4" s="276"/>
      <c r="CY4" s="276"/>
      <c r="CZ4" s="276"/>
      <c r="DA4" s="276"/>
      <c r="DB4" s="276"/>
      <c r="DC4" s="276"/>
      <c r="DD4" s="276"/>
      <c r="DE4" s="276"/>
      <c r="DF4" s="276"/>
      <c r="DG4" s="276"/>
      <c r="DH4" s="276"/>
      <c r="DI4" s="276"/>
      <c r="DJ4" s="276"/>
      <c r="DK4" s="276"/>
      <c r="DL4" s="276"/>
      <c r="DM4" s="276"/>
      <c r="DN4" s="276"/>
      <c r="DO4" s="276"/>
      <c r="DP4" s="276"/>
      <c r="DQ4" s="276"/>
      <c r="DR4" s="276"/>
      <c r="DS4" s="276"/>
      <c r="DT4" s="276"/>
      <c r="DU4" s="276"/>
      <c r="DV4" s="276"/>
      <c r="DW4" s="276"/>
      <c r="DX4" s="276"/>
      <c r="DY4" s="276"/>
      <c r="DZ4" s="276"/>
      <c r="EA4" s="276"/>
      <c r="EB4" s="276"/>
      <c r="EC4" s="276"/>
      <c r="ED4" s="276"/>
      <c r="EE4" s="276"/>
      <c r="EF4" s="276"/>
      <c r="EG4" s="276"/>
      <c r="EH4" s="276"/>
      <c r="EI4" s="276"/>
      <c r="EJ4" s="276"/>
      <c r="EK4" s="276"/>
      <c r="EL4" s="276"/>
      <c r="EM4" s="276"/>
      <c r="EN4" s="276"/>
      <c r="EO4" s="276"/>
      <c r="EP4" s="276"/>
      <c r="EQ4" s="276"/>
      <c r="ER4" s="276"/>
      <c r="ES4" s="276"/>
      <c r="ET4" s="276"/>
      <c r="EU4" s="276"/>
      <c r="EV4" s="276"/>
      <c r="EW4" s="276"/>
      <c r="EX4" s="276"/>
      <c r="EY4" s="276"/>
      <c r="EZ4" s="276"/>
      <c r="FA4" s="276"/>
      <c r="FB4" s="276"/>
      <c r="FC4" s="276"/>
      <c r="FD4" s="276"/>
      <c r="FE4" s="276"/>
      <c r="FF4" s="276"/>
      <c r="FG4" s="276"/>
      <c r="FH4" s="276"/>
      <c r="FI4" s="276"/>
      <c r="FJ4" s="276"/>
      <c r="FK4" s="276"/>
      <c r="FL4" s="276"/>
      <c r="FM4" s="276"/>
      <c r="FN4" s="276"/>
      <c r="FO4" s="276"/>
      <c r="FP4" s="276"/>
      <c r="FQ4" s="276"/>
      <c r="FR4" s="276"/>
      <c r="FS4" s="276"/>
      <c r="FT4" s="276"/>
      <c r="FU4" s="276"/>
      <c r="FV4" s="276"/>
      <c r="FW4" s="276"/>
      <c r="FX4" s="276"/>
      <c r="FY4" s="276"/>
      <c r="FZ4" s="276"/>
      <c r="GA4" s="276"/>
      <c r="GB4" s="276"/>
      <c r="GC4" s="276"/>
      <c r="GD4" s="276"/>
      <c r="GE4" s="276"/>
      <c r="GF4" s="276"/>
      <c r="GG4" s="276"/>
      <c r="GH4" s="276"/>
      <c r="GI4" s="276"/>
      <c r="GJ4" s="276"/>
      <c r="GK4" s="276"/>
      <c r="GL4" s="276"/>
      <c r="GM4" s="276"/>
      <c r="GN4" s="276"/>
      <c r="GO4" s="276"/>
      <c r="GP4" s="276"/>
      <c r="GQ4" s="276"/>
      <c r="GR4" s="276"/>
      <c r="GS4" s="276"/>
      <c r="GT4" s="276"/>
      <c r="GU4" s="276"/>
      <c r="GV4" s="276"/>
      <c r="GW4" s="276"/>
      <c r="GX4" s="276"/>
      <c r="GY4" s="276"/>
      <c r="GZ4" s="276"/>
      <c r="HA4" s="276"/>
      <c r="HB4" s="276"/>
      <c r="HC4" s="276"/>
      <c r="HD4" s="276"/>
      <c r="HE4" s="276"/>
      <c r="HF4" s="276"/>
      <c r="HG4" s="276"/>
      <c r="HH4" s="276"/>
      <c r="HI4" s="276"/>
      <c r="HJ4" s="276"/>
      <c r="HK4" s="276"/>
      <c r="HL4" s="276"/>
      <c r="HM4" s="276"/>
      <c r="HN4" s="276"/>
      <c r="HO4" s="276"/>
      <c r="HP4" s="276"/>
      <c r="HQ4" s="276"/>
      <c r="HR4" s="276"/>
      <c r="HS4" s="276"/>
      <c r="HT4" s="276"/>
      <c r="HU4" s="276"/>
      <c r="HV4" s="276"/>
      <c r="HW4" s="276"/>
      <c r="HX4" s="276"/>
      <c r="HY4" s="276"/>
      <c r="HZ4" s="276"/>
      <c r="IA4" s="276"/>
      <c r="IB4" s="276"/>
      <c r="IC4" s="276"/>
      <c r="ID4" s="276"/>
      <c r="IE4" s="276"/>
      <c r="IF4" s="276"/>
      <c r="IG4" s="276"/>
      <c r="IH4" s="276"/>
      <c r="II4" s="276"/>
      <c r="IJ4" s="276"/>
      <c r="IK4" s="276"/>
      <c r="IL4" s="276"/>
      <c r="IM4" s="276"/>
      <c r="IN4" s="276"/>
      <c r="IO4" s="276"/>
      <c r="IP4" s="276"/>
      <c r="IQ4" s="276"/>
      <c r="IR4" s="276"/>
      <c r="IS4" s="276"/>
      <c r="IT4" s="276"/>
      <c r="IU4" s="276"/>
      <c r="IV4" s="276"/>
    </row>
    <row r="5" spans="1:256" x14ac:dyDescent="0.25">
      <c r="A5" s="289"/>
      <c r="B5" s="290" t="s">
        <v>1295</v>
      </c>
      <c r="C5" s="291" t="s">
        <v>1159</v>
      </c>
      <c r="D5" s="290" t="s">
        <v>1295</v>
      </c>
      <c r="E5" s="291" t="s">
        <v>1159</v>
      </c>
      <c r="F5" s="290" t="s">
        <v>1295</v>
      </c>
      <c r="G5" s="292" t="s">
        <v>1159</v>
      </c>
      <c r="H5" s="293" t="s">
        <v>1295</v>
      </c>
      <c r="I5" s="294" t="s">
        <v>1159</v>
      </c>
      <c r="J5" s="293" t="s">
        <v>1295</v>
      </c>
      <c r="K5" s="294" t="s">
        <v>1159</v>
      </c>
      <c r="L5" s="293" t="s">
        <v>1295</v>
      </c>
      <c r="M5" s="295" t="s">
        <v>1159</v>
      </c>
      <c r="N5" s="293" t="s">
        <v>1295</v>
      </c>
      <c r="O5" s="294" t="s">
        <v>1159</v>
      </c>
      <c r="P5" s="293" t="s">
        <v>1295</v>
      </c>
      <c r="Q5" s="294" t="s">
        <v>1159</v>
      </c>
      <c r="R5" s="293" t="s">
        <v>1295</v>
      </c>
      <c r="S5" s="295" t="s">
        <v>1159</v>
      </c>
      <c r="T5" s="276"/>
      <c r="U5" s="276"/>
      <c r="V5" s="276"/>
      <c r="W5" s="276"/>
      <c r="X5" s="276"/>
      <c r="Y5" s="276"/>
      <c r="Z5" s="276"/>
      <c r="AA5" s="276"/>
      <c r="AB5" s="276"/>
      <c r="AC5" s="276"/>
      <c r="AD5" s="276"/>
      <c r="AE5" s="276"/>
      <c r="AF5" s="276"/>
      <c r="AG5" s="276"/>
      <c r="AH5" s="276"/>
      <c r="AI5" s="276"/>
      <c r="AJ5" s="276"/>
      <c r="AK5" s="276"/>
      <c r="AL5" s="276"/>
      <c r="AM5" s="276"/>
      <c r="AN5" s="276"/>
      <c r="AO5" s="276"/>
      <c r="AP5" s="276"/>
      <c r="AQ5" s="276"/>
      <c r="AR5" s="276"/>
      <c r="AS5" s="276"/>
      <c r="AT5" s="276"/>
      <c r="AU5" s="276"/>
      <c r="AV5" s="276"/>
      <c r="AW5" s="276"/>
      <c r="AX5" s="276"/>
      <c r="AY5" s="276"/>
      <c r="AZ5" s="276"/>
      <c r="BA5" s="276"/>
      <c r="BB5" s="276"/>
      <c r="BC5" s="276"/>
      <c r="BD5" s="276"/>
      <c r="BE5" s="276"/>
      <c r="BF5" s="276"/>
      <c r="BG5" s="276"/>
      <c r="BH5" s="276"/>
      <c r="BI5" s="276"/>
      <c r="BJ5" s="276"/>
      <c r="BK5" s="276"/>
      <c r="BL5" s="276"/>
      <c r="BM5" s="276"/>
      <c r="BN5" s="276"/>
      <c r="BO5" s="276"/>
      <c r="BP5" s="276"/>
      <c r="BQ5" s="276"/>
      <c r="BR5" s="276"/>
      <c r="BS5" s="276"/>
      <c r="BT5" s="276"/>
      <c r="BU5" s="276"/>
      <c r="BV5" s="276"/>
      <c r="BW5" s="276"/>
      <c r="BX5" s="276"/>
      <c r="BY5" s="276"/>
      <c r="BZ5" s="276"/>
      <c r="CA5" s="276"/>
      <c r="CB5" s="276"/>
      <c r="CC5" s="276"/>
      <c r="CD5" s="276"/>
      <c r="CE5" s="276"/>
      <c r="CF5" s="276"/>
      <c r="CG5" s="276"/>
      <c r="CH5" s="276"/>
      <c r="CI5" s="276"/>
      <c r="CJ5" s="276"/>
      <c r="CK5" s="276"/>
      <c r="CL5" s="276"/>
      <c r="CM5" s="276"/>
      <c r="CN5" s="276"/>
      <c r="CO5" s="276"/>
      <c r="CP5" s="276"/>
      <c r="CQ5" s="276"/>
      <c r="CR5" s="276"/>
      <c r="CS5" s="276"/>
      <c r="CT5" s="276"/>
      <c r="CU5" s="276"/>
      <c r="CV5" s="276"/>
      <c r="CW5" s="276"/>
      <c r="CX5" s="276"/>
      <c r="CY5" s="276"/>
      <c r="CZ5" s="276"/>
      <c r="DA5" s="276"/>
      <c r="DB5" s="276"/>
      <c r="DC5" s="276"/>
      <c r="DD5" s="276"/>
      <c r="DE5" s="276"/>
      <c r="DF5" s="276"/>
      <c r="DG5" s="276"/>
      <c r="DH5" s="276"/>
      <c r="DI5" s="276"/>
      <c r="DJ5" s="276"/>
      <c r="DK5" s="276"/>
      <c r="DL5" s="276"/>
      <c r="DM5" s="276"/>
      <c r="DN5" s="276"/>
      <c r="DO5" s="276"/>
      <c r="DP5" s="276"/>
      <c r="DQ5" s="276"/>
      <c r="DR5" s="276"/>
      <c r="DS5" s="276"/>
      <c r="DT5" s="276"/>
      <c r="DU5" s="276"/>
      <c r="DV5" s="276"/>
      <c r="DW5" s="276"/>
      <c r="DX5" s="276"/>
      <c r="DY5" s="276"/>
      <c r="DZ5" s="276"/>
      <c r="EA5" s="276"/>
      <c r="EB5" s="276"/>
      <c r="EC5" s="276"/>
      <c r="ED5" s="276"/>
      <c r="EE5" s="276"/>
      <c r="EF5" s="276"/>
      <c r="EG5" s="276"/>
      <c r="EH5" s="276"/>
      <c r="EI5" s="276"/>
      <c r="EJ5" s="276"/>
      <c r="EK5" s="276"/>
      <c r="EL5" s="276"/>
      <c r="EM5" s="276"/>
      <c r="EN5" s="276"/>
      <c r="EO5" s="276"/>
      <c r="EP5" s="276"/>
      <c r="EQ5" s="276"/>
      <c r="ER5" s="276"/>
      <c r="ES5" s="276"/>
      <c r="ET5" s="276"/>
      <c r="EU5" s="276"/>
      <c r="EV5" s="276"/>
      <c r="EW5" s="276"/>
      <c r="EX5" s="276"/>
      <c r="EY5" s="276"/>
      <c r="EZ5" s="276"/>
      <c r="FA5" s="276"/>
      <c r="FB5" s="276"/>
      <c r="FC5" s="276"/>
      <c r="FD5" s="276"/>
      <c r="FE5" s="276"/>
      <c r="FF5" s="276"/>
      <c r="FG5" s="276"/>
      <c r="FH5" s="276"/>
      <c r="FI5" s="276"/>
      <c r="FJ5" s="276"/>
      <c r="FK5" s="276"/>
      <c r="FL5" s="276"/>
      <c r="FM5" s="276"/>
      <c r="FN5" s="276"/>
      <c r="FO5" s="276"/>
      <c r="FP5" s="276"/>
      <c r="FQ5" s="276"/>
      <c r="FR5" s="276"/>
      <c r="FS5" s="276"/>
      <c r="FT5" s="276"/>
      <c r="FU5" s="276"/>
      <c r="FV5" s="276"/>
      <c r="FW5" s="276"/>
      <c r="FX5" s="276"/>
      <c r="FY5" s="276"/>
      <c r="FZ5" s="276"/>
      <c r="GA5" s="276"/>
      <c r="GB5" s="276"/>
      <c r="GC5" s="276"/>
      <c r="GD5" s="276"/>
      <c r="GE5" s="276"/>
      <c r="GF5" s="276"/>
      <c r="GG5" s="276"/>
      <c r="GH5" s="276"/>
      <c r="GI5" s="276"/>
      <c r="GJ5" s="276"/>
      <c r="GK5" s="276"/>
      <c r="GL5" s="276"/>
      <c r="GM5" s="276"/>
      <c r="GN5" s="276"/>
      <c r="GO5" s="276"/>
      <c r="GP5" s="276"/>
      <c r="GQ5" s="276"/>
      <c r="GR5" s="276"/>
      <c r="GS5" s="276"/>
      <c r="GT5" s="276"/>
      <c r="GU5" s="276"/>
      <c r="GV5" s="276"/>
      <c r="GW5" s="276"/>
      <c r="GX5" s="276"/>
      <c r="GY5" s="276"/>
      <c r="GZ5" s="276"/>
      <c r="HA5" s="276"/>
      <c r="HB5" s="276"/>
      <c r="HC5" s="276"/>
      <c r="HD5" s="276"/>
      <c r="HE5" s="276"/>
      <c r="HF5" s="276"/>
      <c r="HG5" s="276"/>
      <c r="HH5" s="276"/>
      <c r="HI5" s="276"/>
      <c r="HJ5" s="276"/>
      <c r="HK5" s="276"/>
      <c r="HL5" s="276"/>
      <c r="HM5" s="276"/>
      <c r="HN5" s="276"/>
      <c r="HO5" s="276"/>
      <c r="HP5" s="276"/>
      <c r="HQ5" s="276"/>
      <c r="HR5" s="276"/>
      <c r="HS5" s="276"/>
      <c r="HT5" s="276"/>
      <c r="HU5" s="276"/>
      <c r="HV5" s="276"/>
      <c r="HW5" s="276"/>
      <c r="HX5" s="276"/>
      <c r="HY5" s="276"/>
      <c r="HZ5" s="276"/>
      <c r="IA5" s="276"/>
      <c r="IB5" s="276"/>
      <c r="IC5" s="276"/>
      <c r="ID5" s="276"/>
      <c r="IE5" s="276"/>
      <c r="IF5" s="276"/>
      <c r="IG5" s="276"/>
      <c r="IH5" s="276"/>
      <c r="II5" s="276"/>
      <c r="IJ5" s="276"/>
      <c r="IK5" s="276"/>
      <c r="IL5" s="276"/>
      <c r="IM5" s="276"/>
      <c r="IN5" s="276"/>
      <c r="IO5" s="276"/>
      <c r="IP5" s="276"/>
      <c r="IQ5" s="276"/>
      <c r="IR5" s="276"/>
      <c r="IS5" s="276"/>
      <c r="IT5" s="276"/>
      <c r="IU5" s="276"/>
      <c r="IV5" s="276"/>
    </row>
    <row r="6" spans="1:256" x14ac:dyDescent="0.25">
      <c r="A6" s="433"/>
      <c r="B6" s="434"/>
      <c r="C6" s="426"/>
      <c r="D6" s="434"/>
      <c r="E6" s="426"/>
      <c r="F6" s="434"/>
      <c r="G6" s="435"/>
      <c r="H6" s="434"/>
      <c r="I6" s="426"/>
      <c r="J6" s="434"/>
      <c r="K6" s="426"/>
      <c r="L6" s="434"/>
      <c r="M6" s="435"/>
      <c r="N6" s="434"/>
      <c r="O6" s="426"/>
      <c r="P6" s="434"/>
      <c r="Q6" s="426"/>
      <c r="R6" s="434"/>
      <c r="S6" s="436"/>
      <c r="T6" s="276"/>
      <c r="U6" s="276"/>
      <c r="V6" s="276"/>
      <c r="W6" s="276"/>
      <c r="X6" s="276"/>
      <c r="Y6" s="276"/>
      <c r="Z6" s="276"/>
      <c r="AA6" s="276"/>
      <c r="AB6" s="276"/>
      <c r="AC6" s="276"/>
      <c r="AD6" s="276"/>
      <c r="AE6" s="276"/>
      <c r="AF6" s="276"/>
      <c r="AG6" s="276"/>
      <c r="AH6" s="276"/>
      <c r="AI6" s="276"/>
      <c r="AJ6" s="276"/>
      <c r="AK6" s="276"/>
      <c r="AL6" s="276"/>
      <c r="AM6" s="276"/>
      <c r="AN6" s="276"/>
      <c r="AO6" s="276"/>
      <c r="AP6" s="276"/>
      <c r="AQ6" s="276"/>
      <c r="AR6" s="276"/>
      <c r="AS6" s="276"/>
      <c r="AT6" s="276"/>
      <c r="AU6" s="276"/>
      <c r="AV6" s="276"/>
      <c r="AW6" s="276"/>
      <c r="AX6" s="276"/>
      <c r="AY6" s="276"/>
      <c r="AZ6" s="276"/>
      <c r="BA6" s="276"/>
      <c r="BB6" s="276"/>
      <c r="BC6" s="276"/>
      <c r="BD6" s="276"/>
      <c r="BE6" s="276"/>
      <c r="BF6" s="276"/>
      <c r="BG6" s="276"/>
      <c r="BH6" s="276"/>
      <c r="BI6" s="276"/>
      <c r="BJ6" s="276"/>
      <c r="BK6" s="276"/>
      <c r="BL6" s="276"/>
      <c r="BM6" s="276"/>
      <c r="BN6" s="276"/>
      <c r="BO6" s="276"/>
      <c r="BP6" s="276"/>
      <c r="BQ6" s="276"/>
      <c r="BR6" s="276"/>
      <c r="BS6" s="276"/>
      <c r="BT6" s="276"/>
      <c r="BU6" s="276"/>
      <c r="BV6" s="276"/>
      <c r="BW6" s="276"/>
      <c r="BX6" s="276"/>
      <c r="BY6" s="276"/>
      <c r="BZ6" s="276"/>
      <c r="CA6" s="276"/>
      <c r="CB6" s="276"/>
      <c r="CC6" s="276"/>
      <c r="CD6" s="276"/>
      <c r="CE6" s="276"/>
      <c r="CF6" s="276"/>
      <c r="CG6" s="276"/>
      <c r="CH6" s="276"/>
      <c r="CI6" s="276"/>
      <c r="CJ6" s="276"/>
      <c r="CK6" s="276"/>
      <c r="CL6" s="276"/>
      <c r="CM6" s="276"/>
      <c r="CN6" s="276"/>
      <c r="CO6" s="276"/>
      <c r="CP6" s="276"/>
      <c r="CQ6" s="276"/>
      <c r="CR6" s="276"/>
      <c r="CS6" s="276"/>
      <c r="CT6" s="276"/>
      <c r="CU6" s="276"/>
      <c r="CV6" s="276"/>
      <c r="CW6" s="276"/>
      <c r="CX6" s="276"/>
      <c r="CY6" s="276"/>
      <c r="CZ6" s="276"/>
      <c r="DA6" s="276"/>
      <c r="DB6" s="276"/>
      <c r="DC6" s="276"/>
      <c r="DD6" s="276"/>
      <c r="DE6" s="276"/>
      <c r="DF6" s="276"/>
      <c r="DG6" s="276"/>
      <c r="DH6" s="276"/>
      <c r="DI6" s="276"/>
      <c r="DJ6" s="276"/>
      <c r="DK6" s="276"/>
      <c r="DL6" s="276"/>
      <c r="DM6" s="276"/>
      <c r="DN6" s="276"/>
      <c r="DO6" s="276"/>
      <c r="DP6" s="276"/>
      <c r="DQ6" s="276"/>
      <c r="DR6" s="276"/>
      <c r="DS6" s="276"/>
      <c r="DT6" s="276"/>
      <c r="DU6" s="276"/>
      <c r="DV6" s="276"/>
      <c r="DW6" s="276"/>
      <c r="DX6" s="276"/>
      <c r="DY6" s="276"/>
      <c r="DZ6" s="276"/>
      <c r="EA6" s="276"/>
      <c r="EB6" s="276"/>
      <c r="EC6" s="276"/>
      <c r="ED6" s="276"/>
      <c r="EE6" s="276"/>
      <c r="EF6" s="276"/>
      <c r="EG6" s="276"/>
      <c r="EH6" s="276"/>
      <c r="EI6" s="276"/>
      <c r="EJ6" s="276"/>
      <c r="EK6" s="276"/>
      <c r="EL6" s="276"/>
      <c r="EM6" s="276"/>
      <c r="EN6" s="276"/>
      <c r="EO6" s="276"/>
      <c r="EP6" s="276"/>
      <c r="EQ6" s="276"/>
      <c r="ER6" s="276"/>
      <c r="ES6" s="276"/>
      <c r="ET6" s="276"/>
      <c r="EU6" s="276"/>
      <c r="EV6" s="276"/>
      <c r="EW6" s="276"/>
      <c r="EX6" s="276"/>
      <c r="EY6" s="276"/>
      <c r="EZ6" s="276"/>
      <c r="FA6" s="276"/>
      <c r="FB6" s="276"/>
      <c r="FC6" s="276"/>
      <c r="FD6" s="276"/>
      <c r="FE6" s="276"/>
      <c r="FF6" s="276"/>
      <c r="FG6" s="276"/>
      <c r="FH6" s="276"/>
      <c r="FI6" s="276"/>
      <c r="FJ6" s="276"/>
      <c r="FK6" s="276"/>
      <c r="FL6" s="276"/>
      <c r="FM6" s="276"/>
      <c r="FN6" s="276"/>
      <c r="FO6" s="276"/>
      <c r="FP6" s="276"/>
      <c r="FQ6" s="276"/>
      <c r="FR6" s="276"/>
      <c r="FS6" s="276"/>
      <c r="FT6" s="276"/>
      <c r="FU6" s="276"/>
      <c r="FV6" s="276"/>
      <c r="FW6" s="276"/>
      <c r="FX6" s="276"/>
      <c r="FY6" s="276"/>
      <c r="FZ6" s="276"/>
      <c r="GA6" s="276"/>
      <c r="GB6" s="276"/>
      <c r="GC6" s="276"/>
      <c r="GD6" s="276"/>
      <c r="GE6" s="276"/>
      <c r="GF6" s="276"/>
      <c r="GG6" s="276"/>
      <c r="GH6" s="276"/>
      <c r="GI6" s="276"/>
      <c r="GJ6" s="276"/>
      <c r="GK6" s="276"/>
      <c r="GL6" s="276"/>
      <c r="GM6" s="276"/>
      <c r="GN6" s="276"/>
      <c r="GO6" s="276"/>
      <c r="GP6" s="276"/>
      <c r="GQ6" s="276"/>
      <c r="GR6" s="276"/>
      <c r="GS6" s="276"/>
      <c r="GT6" s="276"/>
      <c r="GU6" s="276"/>
      <c r="GV6" s="276"/>
      <c r="GW6" s="276"/>
      <c r="GX6" s="276"/>
      <c r="GY6" s="276"/>
      <c r="GZ6" s="276"/>
      <c r="HA6" s="276"/>
      <c r="HB6" s="276"/>
      <c r="HC6" s="276"/>
      <c r="HD6" s="276"/>
      <c r="HE6" s="276"/>
      <c r="HF6" s="276"/>
      <c r="HG6" s="276"/>
      <c r="HH6" s="276"/>
      <c r="HI6" s="276"/>
      <c r="HJ6" s="276"/>
      <c r="HK6" s="276"/>
      <c r="HL6" s="276"/>
      <c r="HM6" s="276"/>
      <c r="HN6" s="276"/>
      <c r="HO6" s="276"/>
      <c r="HP6" s="276"/>
      <c r="HQ6" s="276"/>
      <c r="HR6" s="276"/>
      <c r="HS6" s="276"/>
      <c r="HT6" s="276"/>
      <c r="HU6" s="276"/>
      <c r="HV6" s="276"/>
      <c r="HW6" s="276"/>
      <c r="HX6" s="276"/>
      <c r="HY6" s="276"/>
      <c r="HZ6" s="276"/>
      <c r="IA6" s="276"/>
      <c r="IB6" s="276"/>
      <c r="IC6" s="276"/>
      <c r="ID6" s="276"/>
      <c r="IE6" s="276"/>
      <c r="IF6" s="276"/>
      <c r="IG6" s="276"/>
      <c r="IH6" s="276"/>
      <c r="II6" s="276"/>
      <c r="IJ6" s="276"/>
      <c r="IK6" s="276"/>
      <c r="IL6" s="276"/>
      <c r="IM6" s="276"/>
      <c r="IN6" s="276"/>
      <c r="IO6" s="276"/>
      <c r="IP6" s="276"/>
      <c r="IQ6" s="276"/>
      <c r="IR6" s="276"/>
      <c r="IS6" s="276"/>
      <c r="IT6" s="276"/>
      <c r="IU6" s="276"/>
      <c r="IV6" s="276"/>
    </row>
    <row r="7" spans="1:256" x14ac:dyDescent="0.25">
      <c r="A7" s="296">
        <v>2008</v>
      </c>
      <c r="B7" s="398">
        <v>2362</v>
      </c>
      <c r="C7" s="399">
        <f>B7/R7</f>
        <v>0.90359602142310635</v>
      </c>
      <c r="D7" s="398">
        <v>70</v>
      </c>
      <c r="E7" s="399">
        <f>D7/R7</f>
        <v>2.6778882938026015E-2</v>
      </c>
      <c r="F7" s="398">
        <f>B7+D7</f>
        <v>2432</v>
      </c>
      <c r="G7" s="400">
        <f>F7/R7</f>
        <v>0.93037490436113235</v>
      </c>
      <c r="H7" s="398">
        <v>178</v>
      </c>
      <c r="I7" s="399">
        <f>H7/R7</f>
        <v>6.8094873756694721E-2</v>
      </c>
      <c r="J7" s="398">
        <v>4</v>
      </c>
      <c r="K7" s="399">
        <f>J7/R7</f>
        <v>1.530221882172915E-3</v>
      </c>
      <c r="L7" s="398">
        <f>H7+J7</f>
        <v>182</v>
      </c>
      <c r="M7" s="400">
        <f>L7/R7</f>
        <v>6.9625095638867637E-2</v>
      </c>
      <c r="N7" s="398">
        <f>B7+H7</f>
        <v>2540</v>
      </c>
      <c r="O7" s="399">
        <f>N7/R7</f>
        <v>0.97169089517980112</v>
      </c>
      <c r="P7" s="398">
        <f>D7+J7</f>
        <v>74</v>
      </c>
      <c r="Q7" s="399">
        <f>P7/R7</f>
        <v>2.8309104820198928E-2</v>
      </c>
      <c r="R7" s="398">
        <f>N7+P7</f>
        <v>2614</v>
      </c>
      <c r="S7" s="401">
        <f>SUM(G7,M7)</f>
        <v>1</v>
      </c>
      <c r="T7" s="276"/>
      <c r="U7" s="276"/>
      <c r="V7" s="276"/>
      <c r="W7" s="276"/>
      <c r="X7" s="276"/>
      <c r="Y7" s="276"/>
      <c r="Z7" s="276"/>
      <c r="AA7" s="276"/>
      <c r="AB7" s="276"/>
      <c r="AC7" s="276"/>
      <c r="AD7" s="276"/>
      <c r="AE7" s="276"/>
      <c r="AF7" s="276"/>
      <c r="AG7" s="276"/>
      <c r="AH7" s="276"/>
      <c r="AI7" s="276"/>
      <c r="AJ7" s="276"/>
      <c r="AK7" s="276"/>
      <c r="AL7" s="276"/>
      <c r="AM7" s="276"/>
      <c r="AN7" s="276"/>
      <c r="AO7" s="276"/>
      <c r="AP7" s="276"/>
      <c r="AQ7" s="276"/>
      <c r="AR7" s="276"/>
      <c r="AS7" s="276"/>
      <c r="AT7" s="276"/>
      <c r="AU7" s="276"/>
      <c r="AV7" s="276"/>
      <c r="AW7" s="276"/>
      <c r="AX7" s="276"/>
      <c r="AY7" s="276"/>
      <c r="AZ7" s="276"/>
      <c r="BA7" s="276"/>
      <c r="BB7" s="276"/>
      <c r="BC7" s="276"/>
      <c r="BD7" s="276"/>
      <c r="BE7" s="276"/>
      <c r="BF7" s="276"/>
      <c r="BG7" s="276"/>
      <c r="BH7" s="276"/>
      <c r="BI7" s="276"/>
      <c r="BJ7" s="276"/>
      <c r="BK7" s="276"/>
      <c r="BL7" s="276"/>
      <c r="BM7" s="276"/>
      <c r="BN7" s="276"/>
      <c r="BO7" s="276"/>
      <c r="BP7" s="276"/>
      <c r="BQ7" s="276"/>
      <c r="BR7" s="276"/>
      <c r="BS7" s="276"/>
      <c r="BT7" s="276"/>
      <c r="BU7" s="276"/>
      <c r="BV7" s="276"/>
      <c r="BW7" s="276"/>
      <c r="BX7" s="276"/>
      <c r="BY7" s="276"/>
      <c r="BZ7" s="276"/>
      <c r="CA7" s="276"/>
      <c r="CB7" s="276"/>
      <c r="CC7" s="276"/>
      <c r="CD7" s="276"/>
      <c r="CE7" s="276"/>
      <c r="CF7" s="276"/>
      <c r="CG7" s="276"/>
      <c r="CH7" s="276"/>
      <c r="CI7" s="276"/>
      <c r="CJ7" s="276"/>
      <c r="CK7" s="276"/>
      <c r="CL7" s="276"/>
      <c r="CM7" s="276"/>
      <c r="CN7" s="276"/>
      <c r="CO7" s="276"/>
      <c r="CP7" s="276"/>
      <c r="CQ7" s="276"/>
      <c r="CR7" s="276"/>
      <c r="CS7" s="276"/>
      <c r="CT7" s="276"/>
      <c r="CU7" s="276"/>
      <c r="CV7" s="276"/>
      <c r="CW7" s="276"/>
      <c r="CX7" s="276"/>
      <c r="CY7" s="276"/>
      <c r="CZ7" s="276"/>
      <c r="DA7" s="276"/>
      <c r="DB7" s="276"/>
      <c r="DC7" s="276"/>
      <c r="DD7" s="276"/>
      <c r="DE7" s="276"/>
      <c r="DF7" s="276"/>
      <c r="DG7" s="276"/>
      <c r="DH7" s="276"/>
      <c r="DI7" s="276"/>
      <c r="DJ7" s="276"/>
      <c r="DK7" s="276"/>
      <c r="DL7" s="276"/>
      <c r="DM7" s="276"/>
      <c r="DN7" s="276"/>
      <c r="DO7" s="276"/>
      <c r="DP7" s="276"/>
      <c r="DQ7" s="276"/>
      <c r="DR7" s="276"/>
      <c r="DS7" s="276"/>
      <c r="DT7" s="276"/>
      <c r="DU7" s="276"/>
      <c r="DV7" s="276"/>
      <c r="DW7" s="276"/>
      <c r="DX7" s="276"/>
      <c r="DY7" s="276"/>
      <c r="DZ7" s="276"/>
      <c r="EA7" s="276"/>
      <c r="EB7" s="276"/>
      <c r="EC7" s="276"/>
      <c r="ED7" s="276"/>
      <c r="EE7" s="276"/>
      <c r="EF7" s="276"/>
      <c r="EG7" s="276"/>
      <c r="EH7" s="276"/>
      <c r="EI7" s="276"/>
      <c r="EJ7" s="276"/>
      <c r="EK7" s="276"/>
      <c r="EL7" s="276"/>
      <c r="EM7" s="276"/>
      <c r="EN7" s="276"/>
      <c r="EO7" s="276"/>
      <c r="EP7" s="276"/>
      <c r="EQ7" s="276"/>
      <c r="ER7" s="276"/>
      <c r="ES7" s="276"/>
      <c r="ET7" s="276"/>
      <c r="EU7" s="276"/>
      <c r="EV7" s="276"/>
      <c r="EW7" s="276"/>
      <c r="EX7" s="276"/>
      <c r="EY7" s="276"/>
      <c r="EZ7" s="276"/>
      <c r="FA7" s="276"/>
      <c r="FB7" s="276"/>
      <c r="FC7" s="276"/>
      <c r="FD7" s="276"/>
      <c r="FE7" s="276"/>
      <c r="FF7" s="276"/>
      <c r="FG7" s="276"/>
      <c r="FH7" s="276"/>
      <c r="FI7" s="276"/>
      <c r="FJ7" s="276"/>
      <c r="FK7" s="276"/>
      <c r="FL7" s="276"/>
      <c r="FM7" s="276"/>
      <c r="FN7" s="276"/>
      <c r="FO7" s="276"/>
      <c r="FP7" s="276"/>
      <c r="FQ7" s="276"/>
      <c r="FR7" s="276"/>
      <c r="FS7" s="276"/>
      <c r="FT7" s="276"/>
      <c r="FU7" s="276"/>
      <c r="FV7" s="276"/>
      <c r="FW7" s="276"/>
      <c r="FX7" s="276"/>
      <c r="FY7" s="276"/>
      <c r="FZ7" s="276"/>
      <c r="GA7" s="276"/>
      <c r="GB7" s="276"/>
      <c r="GC7" s="276"/>
      <c r="GD7" s="276"/>
      <c r="GE7" s="276"/>
      <c r="GF7" s="276"/>
      <c r="GG7" s="276"/>
      <c r="GH7" s="276"/>
      <c r="GI7" s="276"/>
      <c r="GJ7" s="276"/>
      <c r="GK7" s="276"/>
      <c r="GL7" s="276"/>
      <c r="GM7" s="276"/>
      <c r="GN7" s="276"/>
      <c r="GO7" s="276"/>
      <c r="GP7" s="276"/>
      <c r="GQ7" s="276"/>
      <c r="GR7" s="276"/>
      <c r="GS7" s="276"/>
      <c r="GT7" s="276"/>
      <c r="GU7" s="276"/>
      <c r="GV7" s="276"/>
      <c r="GW7" s="276"/>
      <c r="GX7" s="276"/>
      <c r="GY7" s="276"/>
      <c r="GZ7" s="276"/>
      <c r="HA7" s="276"/>
      <c r="HB7" s="276"/>
      <c r="HC7" s="276"/>
      <c r="HD7" s="276"/>
      <c r="HE7" s="276"/>
      <c r="HF7" s="276"/>
      <c r="HG7" s="276"/>
      <c r="HH7" s="276"/>
      <c r="HI7" s="276"/>
      <c r="HJ7" s="276"/>
      <c r="HK7" s="276"/>
      <c r="HL7" s="276"/>
      <c r="HM7" s="276"/>
      <c r="HN7" s="276"/>
      <c r="HO7" s="276"/>
      <c r="HP7" s="276"/>
      <c r="HQ7" s="276"/>
      <c r="HR7" s="276"/>
      <c r="HS7" s="276"/>
      <c r="HT7" s="276"/>
      <c r="HU7" s="276"/>
      <c r="HV7" s="276"/>
      <c r="HW7" s="276"/>
      <c r="HX7" s="276"/>
      <c r="HY7" s="276"/>
      <c r="HZ7" s="276"/>
      <c r="IA7" s="276"/>
      <c r="IB7" s="276"/>
      <c r="IC7" s="276"/>
      <c r="ID7" s="276"/>
      <c r="IE7" s="276"/>
      <c r="IF7" s="276"/>
      <c r="IG7" s="276"/>
      <c r="IH7" s="276"/>
      <c r="II7" s="276"/>
      <c r="IJ7" s="276"/>
      <c r="IK7" s="276"/>
      <c r="IL7" s="276"/>
      <c r="IM7" s="276"/>
      <c r="IN7" s="276"/>
      <c r="IO7" s="276"/>
      <c r="IP7" s="276"/>
      <c r="IQ7" s="276"/>
      <c r="IR7" s="276"/>
      <c r="IS7" s="276"/>
      <c r="IT7" s="276"/>
      <c r="IU7" s="276"/>
      <c r="IV7" s="276"/>
    </row>
    <row r="8" spans="1:256" ht="12.75" customHeight="1" x14ac:dyDescent="0.25">
      <c r="A8" s="433"/>
      <c r="B8" s="434"/>
      <c r="C8" s="426"/>
      <c r="D8" s="434"/>
      <c r="E8" s="426"/>
      <c r="F8" s="434"/>
      <c r="G8" s="435"/>
      <c r="H8" s="434"/>
      <c r="I8" s="426"/>
      <c r="J8" s="434"/>
      <c r="K8" s="426"/>
      <c r="L8" s="434"/>
      <c r="M8" s="435"/>
      <c r="N8" s="434"/>
      <c r="O8" s="426"/>
      <c r="P8" s="434"/>
      <c r="Q8" s="426"/>
      <c r="R8" s="434"/>
      <c r="S8" s="436"/>
      <c r="T8" s="276"/>
      <c r="U8" s="276"/>
      <c r="V8" s="276"/>
      <c r="W8" s="276"/>
      <c r="X8" s="276"/>
      <c r="Y8" s="276"/>
      <c r="Z8" s="276"/>
      <c r="AA8" s="276"/>
      <c r="AB8" s="276"/>
      <c r="AC8" s="276"/>
      <c r="AD8" s="276"/>
      <c r="AE8" s="276"/>
      <c r="AF8" s="276"/>
      <c r="AG8" s="276"/>
      <c r="AH8" s="276"/>
      <c r="AI8" s="276"/>
      <c r="AJ8" s="276"/>
      <c r="AK8" s="276"/>
      <c r="AL8" s="276"/>
      <c r="AM8" s="276"/>
      <c r="AN8" s="276"/>
      <c r="AO8" s="276"/>
      <c r="AP8" s="276"/>
      <c r="AQ8" s="276"/>
      <c r="AR8" s="276"/>
      <c r="AS8" s="276"/>
      <c r="AT8" s="276"/>
      <c r="AU8" s="276"/>
      <c r="AV8" s="276"/>
      <c r="AW8" s="276"/>
      <c r="AX8" s="276"/>
      <c r="AY8" s="276"/>
      <c r="AZ8" s="276"/>
      <c r="BA8" s="276"/>
      <c r="BB8" s="276"/>
      <c r="BC8" s="276"/>
      <c r="BD8" s="276"/>
      <c r="BE8" s="276"/>
      <c r="BF8" s="276"/>
      <c r="BG8" s="276"/>
      <c r="BH8" s="276"/>
      <c r="BI8" s="276"/>
      <c r="BJ8" s="276"/>
      <c r="BK8" s="276"/>
      <c r="BL8" s="276"/>
      <c r="BM8" s="276"/>
      <c r="BN8" s="276"/>
      <c r="BO8" s="276"/>
      <c r="BP8" s="276"/>
      <c r="BQ8" s="276"/>
      <c r="BR8" s="276"/>
      <c r="BS8" s="276"/>
      <c r="BT8" s="276"/>
      <c r="BU8" s="276"/>
      <c r="BV8" s="276"/>
      <c r="BW8" s="276"/>
      <c r="BX8" s="276"/>
      <c r="BY8" s="276"/>
      <c r="BZ8" s="276"/>
      <c r="CA8" s="276"/>
      <c r="CB8" s="276"/>
      <c r="CC8" s="276"/>
      <c r="CD8" s="276"/>
      <c r="CE8" s="276"/>
      <c r="CF8" s="276"/>
      <c r="CG8" s="276"/>
      <c r="CH8" s="276"/>
      <c r="CI8" s="276"/>
      <c r="CJ8" s="276"/>
      <c r="CK8" s="276"/>
      <c r="CL8" s="276"/>
      <c r="CM8" s="276"/>
      <c r="CN8" s="276"/>
      <c r="CO8" s="276"/>
      <c r="CP8" s="276"/>
      <c r="CQ8" s="276"/>
      <c r="CR8" s="276"/>
      <c r="CS8" s="276"/>
      <c r="CT8" s="276"/>
      <c r="CU8" s="276"/>
      <c r="CV8" s="276"/>
      <c r="CW8" s="276"/>
      <c r="CX8" s="276"/>
      <c r="CY8" s="276"/>
      <c r="CZ8" s="276"/>
      <c r="DA8" s="276"/>
      <c r="DB8" s="276"/>
      <c r="DC8" s="276"/>
      <c r="DD8" s="276"/>
      <c r="DE8" s="276"/>
      <c r="DF8" s="276"/>
      <c r="DG8" s="276"/>
      <c r="DH8" s="276"/>
      <c r="DI8" s="276"/>
      <c r="DJ8" s="276"/>
      <c r="DK8" s="276"/>
      <c r="DL8" s="276"/>
      <c r="DM8" s="276"/>
      <c r="DN8" s="276"/>
      <c r="DO8" s="276"/>
      <c r="DP8" s="276"/>
      <c r="DQ8" s="276"/>
      <c r="DR8" s="276"/>
      <c r="DS8" s="276"/>
      <c r="DT8" s="276"/>
      <c r="DU8" s="276"/>
      <c r="DV8" s="276"/>
      <c r="DW8" s="276"/>
      <c r="DX8" s="276"/>
      <c r="DY8" s="276"/>
      <c r="DZ8" s="276"/>
      <c r="EA8" s="276"/>
      <c r="EB8" s="276"/>
      <c r="EC8" s="276"/>
      <c r="ED8" s="276"/>
      <c r="EE8" s="276"/>
      <c r="EF8" s="276"/>
      <c r="EG8" s="276"/>
      <c r="EH8" s="276"/>
      <c r="EI8" s="276"/>
      <c r="EJ8" s="276"/>
      <c r="EK8" s="276"/>
      <c r="EL8" s="276"/>
      <c r="EM8" s="276"/>
      <c r="EN8" s="276"/>
      <c r="EO8" s="276"/>
      <c r="EP8" s="276"/>
      <c r="EQ8" s="276"/>
      <c r="ER8" s="276"/>
      <c r="ES8" s="276"/>
      <c r="ET8" s="276"/>
      <c r="EU8" s="276"/>
      <c r="EV8" s="276"/>
      <c r="EW8" s="276"/>
      <c r="EX8" s="276"/>
      <c r="EY8" s="276"/>
      <c r="EZ8" s="276"/>
      <c r="FA8" s="276"/>
      <c r="FB8" s="276"/>
      <c r="FC8" s="276"/>
      <c r="FD8" s="276"/>
      <c r="FE8" s="276"/>
      <c r="FF8" s="276"/>
      <c r="FG8" s="276"/>
      <c r="FH8" s="276"/>
      <c r="FI8" s="276"/>
      <c r="FJ8" s="276"/>
      <c r="FK8" s="276"/>
      <c r="FL8" s="276"/>
      <c r="FM8" s="276"/>
      <c r="FN8" s="276"/>
      <c r="FO8" s="276"/>
      <c r="FP8" s="276"/>
      <c r="FQ8" s="276"/>
      <c r="FR8" s="276"/>
      <c r="FS8" s="276"/>
      <c r="FT8" s="276"/>
      <c r="FU8" s="276"/>
      <c r="FV8" s="276"/>
      <c r="FW8" s="276"/>
      <c r="FX8" s="276"/>
      <c r="FY8" s="276"/>
      <c r="FZ8" s="276"/>
      <c r="GA8" s="276"/>
      <c r="GB8" s="276"/>
      <c r="GC8" s="276"/>
      <c r="GD8" s="276"/>
      <c r="GE8" s="276"/>
      <c r="GF8" s="276"/>
      <c r="GG8" s="276"/>
      <c r="GH8" s="276"/>
      <c r="GI8" s="276"/>
      <c r="GJ8" s="276"/>
      <c r="GK8" s="276"/>
      <c r="GL8" s="276"/>
      <c r="GM8" s="276"/>
      <c r="GN8" s="276"/>
      <c r="GO8" s="276"/>
      <c r="GP8" s="276"/>
      <c r="GQ8" s="276"/>
      <c r="GR8" s="276"/>
      <c r="GS8" s="276"/>
      <c r="GT8" s="276"/>
      <c r="GU8" s="276"/>
      <c r="GV8" s="276"/>
      <c r="GW8" s="276"/>
      <c r="GX8" s="276"/>
      <c r="GY8" s="276"/>
      <c r="GZ8" s="276"/>
      <c r="HA8" s="276"/>
      <c r="HB8" s="276"/>
      <c r="HC8" s="276"/>
      <c r="HD8" s="276"/>
      <c r="HE8" s="276"/>
      <c r="HF8" s="276"/>
      <c r="HG8" s="276"/>
      <c r="HH8" s="276"/>
      <c r="HI8" s="276"/>
      <c r="HJ8" s="276"/>
      <c r="HK8" s="276"/>
      <c r="HL8" s="276"/>
      <c r="HM8" s="276"/>
      <c r="HN8" s="276"/>
      <c r="HO8" s="276"/>
      <c r="HP8" s="276"/>
      <c r="HQ8" s="276"/>
      <c r="HR8" s="276"/>
      <c r="HS8" s="276"/>
      <c r="HT8" s="276"/>
      <c r="HU8" s="276"/>
      <c r="HV8" s="276"/>
      <c r="HW8" s="276"/>
      <c r="HX8" s="276"/>
      <c r="HY8" s="276"/>
      <c r="HZ8" s="276"/>
      <c r="IA8" s="276"/>
      <c r="IB8" s="276"/>
      <c r="IC8" s="276"/>
      <c r="ID8" s="276"/>
      <c r="IE8" s="276"/>
      <c r="IF8" s="276"/>
      <c r="IG8" s="276"/>
      <c r="IH8" s="276"/>
      <c r="II8" s="276"/>
      <c r="IJ8" s="276"/>
      <c r="IK8" s="276"/>
      <c r="IL8" s="276"/>
      <c r="IM8" s="276"/>
      <c r="IN8" s="276"/>
      <c r="IO8" s="276"/>
      <c r="IP8" s="276"/>
      <c r="IQ8" s="276"/>
      <c r="IR8" s="276"/>
      <c r="IS8" s="276"/>
      <c r="IT8" s="276"/>
      <c r="IU8" s="276"/>
      <c r="IV8" s="276"/>
    </row>
    <row r="9" spans="1:256" x14ac:dyDescent="0.25">
      <c r="A9" s="296">
        <v>2009</v>
      </c>
      <c r="B9" s="398">
        <v>2578</v>
      </c>
      <c r="C9" s="399">
        <f>B9/R9</f>
        <v>0.9083861874559549</v>
      </c>
      <c r="D9" s="398">
        <v>47</v>
      </c>
      <c r="E9" s="399">
        <f>D9/R9</f>
        <v>1.6560958421423539E-2</v>
      </c>
      <c r="F9" s="398">
        <f>B9+D9</f>
        <v>2625</v>
      </c>
      <c r="G9" s="400">
        <f>F9/R9</f>
        <v>0.92494714587737847</v>
      </c>
      <c r="H9" s="398">
        <v>211</v>
      </c>
      <c r="I9" s="399">
        <f>H9/R9</f>
        <v>7.4348132487667376E-2</v>
      </c>
      <c r="J9" s="398">
        <v>2</v>
      </c>
      <c r="K9" s="399">
        <f>J9/R9</f>
        <v>7.0472163495419312E-4</v>
      </c>
      <c r="L9" s="398">
        <f>H9+J9</f>
        <v>213</v>
      </c>
      <c r="M9" s="400">
        <f>L9/R9</f>
        <v>7.5052854122621568E-2</v>
      </c>
      <c r="N9" s="398">
        <f>B9+H9</f>
        <v>2789</v>
      </c>
      <c r="O9" s="399">
        <f>N9/R9</f>
        <v>0.98273431994362226</v>
      </c>
      <c r="P9" s="398">
        <f>D9+J9</f>
        <v>49</v>
      </c>
      <c r="Q9" s="399">
        <f>P9/R9</f>
        <v>1.7265680056377731E-2</v>
      </c>
      <c r="R9" s="398">
        <f>N9+P9</f>
        <v>2838</v>
      </c>
      <c r="S9" s="401">
        <f>SUM(G9,M9)</f>
        <v>1</v>
      </c>
      <c r="T9" s="276"/>
      <c r="U9" s="276"/>
      <c r="V9" s="276"/>
      <c r="W9" s="276"/>
      <c r="X9" s="276"/>
      <c r="Y9" s="276"/>
      <c r="Z9" s="276"/>
      <c r="AA9" s="276"/>
      <c r="AB9" s="276"/>
      <c r="AC9" s="276"/>
      <c r="AD9" s="276"/>
      <c r="AE9" s="276"/>
      <c r="AF9" s="276"/>
      <c r="AG9" s="276"/>
      <c r="AH9" s="276"/>
      <c r="AI9" s="276"/>
      <c r="AJ9" s="276"/>
      <c r="AK9" s="276"/>
      <c r="AL9" s="276"/>
      <c r="AM9" s="276"/>
      <c r="AN9" s="276"/>
      <c r="AO9" s="276"/>
      <c r="AP9" s="276"/>
      <c r="AQ9" s="276"/>
      <c r="AR9" s="276"/>
      <c r="AS9" s="276"/>
      <c r="AT9" s="276"/>
      <c r="AU9" s="276"/>
      <c r="AV9" s="276"/>
      <c r="AW9" s="276"/>
      <c r="AX9" s="276"/>
      <c r="AY9" s="276"/>
      <c r="AZ9" s="276"/>
      <c r="BA9" s="276"/>
      <c r="BB9" s="276"/>
      <c r="BC9" s="276"/>
      <c r="BD9" s="276"/>
      <c r="BE9" s="276"/>
      <c r="BF9" s="276"/>
      <c r="BG9" s="276"/>
      <c r="BH9" s="276"/>
      <c r="BI9" s="276"/>
      <c r="BJ9" s="276"/>
      <c r="BK9" s="276"/>
      <c r="BL9" s="276"/>
      <c r="BM9" s="276"/>
      <c r="BN9" s="276"/>
      <c r="BO9" s="276"/>
      <c r="BP9" s="276"/>
      <c r="BQ9" s="276"/>
      <c r="BR9" s="276"/>
      <c r="BS9" s="276"/>
      <c r="BT9" s="276"/>
      <c r="BU9" s="276"/>
      <c r="BV9" s="276"/>
      <c r="BW9" s="276"/>
      <c r="BX9" s="276"/>
      <c r="BY9" s="276"/>
      <c r="BZ9" s="276"/>
      <c r="CA9" s="276"/>
      <c r="CB9" s="276"/>
      <c r="CC9" s="276"/>
      <c r="CD9" s="276"/>
      <c r="CE9" s="276"/>
      <c r="CF9" s="276"/>
      <c r="CG9" s="276"/>
      <c r="CH9" s="276"/>
      <c r="CI9" s="276"/>
      <c r="CJ9" s="276"/>
      <c r="CK9" s="276"/>
      <c r="CL9" s="276"/>
      <c r="CM9" s="276"/>
      <c r="CN9" s="276"/>
      <c r="CO9" s="276"/>
      <c r="CP9" s="276"/>
      <c r="CQ9" s="276"/>
      <c r="CR9" s="276"/>
      <c r="CS9" s="276"/>
      <c r="CT9" s="276"/>
      <c r="CU9" s="276"/>
      <c r="CV9" s="276"/>
      <c r="CW9" s="276"/>
      <c r="CX9" s="276"/>
      <c r="CY9" s="276"/>
      <c r="CZ9" s="276"/>
      <c r="DA9" s="276"/>
      <c r="DB9" s="276"/>
      <c r="DC9" s="276"/>
      <c r="DD9" s="276"/>
      <c r="DE9" s="276"/>
      <c r="DF9" s="276"/>
      <c r="DG9" s="276"/>
      <c r="DH9" s="276"/>
      <c r="DI9" s="276"/>
      <c r="DJ9" s="276"/>
      <c r="DK9" s="276"/>
      <c r="DL9" s="276"/>
      <c r="DM9" s="276"/>
      <c r="DN9" s="276"/>
      <c r="DO9" s="276"/>
      <c r="DP9" s="276"/>
      <c r="DQ9" s="276"/>
      <c r="DR9" s="276"/>
      <c r="DS9" s="276"/>
      <c r="DT9" s="276"/>
      <c r="DU9" s="276"/>
      <c r="DV9" s="276"/>
      <c r="DW9" s="276"/>
      <c r="DX9" s="276"/>
      <c r="DY9" s="276"/>
      <c r="DZ9" s="276"/>
      <c r="EA9" s="276"/>
      <c r="EB9" s="276"/>
      <c r="EC9" s="276"/>
      <c r="ED9" s="276"/>
      <c r="EE9" s="276"/>
      <c r="EF9" s="276"/>
      <c r="EG9" s="276"/>
      <c r="EH9" s="276"/>
      <c r="EI9" s="276"/>
      <c r="EJ9" s="276"/>
      <c r="EK9" s="276"/>
      <c r="EL9" s="276"/>
      <c r="EM9" s="276"/>
      <c r="EN9" s="276"/>
      <c r="EO9" s="276"/>
      <c r="EP9" s="276"/>
      <c r="EQ9" s="276"/>
      <c r="ER9" s="276"/>
      <c r="ES9" s="276"/>
      <c r="ET9" s="276"/>
      <c r="EU9" s="276"/>
      <c r="EV9" s="276"/>
      <c r="EW9" s="276"/>
      <c r="EX9" s="276"/>
      <c r="EY9" s="276"/>
      <c r="EZ9" s="276"/>
      <c r="FA9" s="276"/>
      <c r="FB9" s="276"/>
      <c r="FC9" s="276"/>
      <c r="FD9" s="276"/>
      <c r="FE9" s="276"/>
      <c r="FF9" s="276"/>
      <c r="FG9" s="276"/>
      <c r="FH9" s="276"/>
      <c r="FI9" s="276"/>
      <c r="FJ9" s="276"/>
      <c r="FK9" s="276"/>
      <c r="FL9" s="276"/>
      <c r="FM9" s="276"/>
      <c r="FN9" s="276"/>
      <c r="FO9" s="276"/>
      <c r="FP9" s="276"/>
      <c r="FQ9" s="276"/>
      <c r="FR9" s="276"/>
      <c r="FS9" s="276"/>
      <c r="FT9" s="276"/>
      <c r="FU9" s="276"/>
      <c r="FV9" s="276"/>
      <c r="FW9" s="276"/>
      <c r="FX9" s="276"/>
      <c r="FY9" s="276"/>
      <c r="FZ9" s="276"/>
      <c r="GA9" s="276"/>
      <c r="GB9" s="276"/>
      <c r="GC9" s="276"/>
      <c r="GD9" s="276"/>
      <c r="GE9" s="276"/>
      <c r="GF9" s="276"/>
      <c r="GG9" s="276"/>
      <c r="GH9" s="276"/>
      <c r="GI9" s="276"/>
      <c r="GJ9" s="276"/>
      <c r="GK9" s="276"/>
      <c r="GL9" s="276"/>
      <c r="GM9" s="276"/>
      <c r="GN9" s="276"/>
      <c r="GO9" s="276"/>
      <c r="GP9" s="276"/>
      <c r="GQ9" s="276"/>
      <c r="GR9" s="276"/>
      <c r="GS9" s="276"/>
      <c r="GT9" s="276"/>
      <c r="GU9" s="276"/>
      <c r="GV9" s="276"/>
      <c r="GW9" s="276"/>
      <c r="GX9" s="276"/>
      <c r="GY9" s="276"/>
      <c r="GZ9" s="276"/>
      <c r="HA9" s="276"/>
      <c r="HB9" s="276"/>
      <c r="HC9" s="276"/>
      <c r="HD9" s="276"/>
      <c r="HE9" s="276"/>
      <c r="HF9" s="276"/>
      <c r="HG9" s="276"/>
      <c r="HH9" s="276"/>
      <c r="HI9" s="276"/>
      <c r="HJ9" s="276"/>
      <c r="HK9" s="276"/>
      <c r="HL9" s="276"/>
      <c r="HM9" s="276"/>
      <c r="HN9" s="276"/>
      <c r="HO9" s="276"/>
      <c r="HP9" s="276"/>
      <c r="HQ9" s="276"/>
      <c r="HR9" s="276"/>
      <c r="HS9" s="276"/>
      <c r="HT9" s="276"/>
      <c r="HU9" s="276"/>
      <c r="HV9" s="276"/>
      <c r="HW9" s="276"/>
      <c r="HX9" s="276"/>
      <c r="HY9" s="276"/>
      <c r="HZ9" s="276"/>
      <c r="IA9" s="276"/>
      <c r="IB9" s="276"/>
      <c r="IC9" s="276"/>
      <c r="ID9" s="276"/>
      <c r="IE9" s="276"/>
      <c r="IF9" s="276"/>
      <c r="IG9" s="276"/>
      <c r="IH9" s="276"/>
      <c r="II9" s="276"/>
      <c r="IJ9" s="276"/>
      <c r="IK9" s="276"/>
      <c r="IL9" s="276"/>
      <c r="IM9" s="276"/>
      <c r="IN9" s="276"/>
      <c r="IO9" s="276"/>
      <c r="IP9" s="276"/>
      <c r="IQ9" s="276"/>
      <c r="IR9" s="276"/>
      <c r="IS9" s="276"/>
      <c r="IT9" s="276"/>
      <c r="IU9" s="276"/>
      <c r="IV9" s="276"/>
    </row>
    <row r="10" spans="1:256" x14ac:dyDescent="0.25">
      <c r="A10" s="433"/>
      <c r="B10" s="434"/>
      <c r="C10" s="426"/>
      <c r="D10" s="434"/>
      <c r="E10" s="426"/>
      <c r="F10" s="434"/>
      <c r="G10" s="435"/>
      <c r="H10" s="434"/>
      <c r="I10" s="426"/>
      <c r="J10" s="434"/>
      <c r="K10" s="426"/>
      <c r="L10" s="434"/>
      <c r="M10" s="435"/>
      <c r="N10" s="434"/>
      <c r="O10" s="426"/>
      <c r="P10" s="434"/>
      <c r="Q10" s="426"/>
      <c r="R10" s="434"/>
      <c r="S10" s="436"/>
      <c r="T10" s="301"/>
      <c r="U10" s="301"/>
      <c r="V10" s="301"/>
      <c r="W10" s="301"/>
      <c r="X10" s="301"/>
      <c r="Y10" s="301"/>
      <c r="Z10" s="301"/>
      <c r="AA10" s="301"/>
      <c r="AB10" s="301"/>
      <c r="AC10" s="301"/>
      <c r="AD10" s="301"/>
      <c r="AE10" s="301"/>
      <c r="AF10" s="301"/>
      <c r="AG10" s="301"/>
      <c r="AH10" s="301"/>
      <c r="AI10" s="301"/>
      <c r="AJ10" s="301"/>
      <c r="AK10" s="301"/>
      <c r="AL10" s="301"/>
      <c r="AM10" s="301"/>
      <c r="AN10" s="301"/>
      <c r="AO10" s="301"/>
      <c r="AP10" s="301"/>
      <c r="AQ10" s="301"/>
      <c r="AR10" s="301"/>
      <c r="AS10" s="301"/>
      <c r="AT10" s="301"/>
      <c r="AU10" s="301"/>
      <c r="AV10" s="301"/>
      <c r="AW10" s="301"/>
      <c r="AX10" s="301"/>
      <c r="AY10" s="301"/>
      <c r="AZ10" s="301"/>
      <c r="BA10" s="301"/>
      <c r="BB10" s="301"/>
      <c r="BC10" s="301"/>
      <c r="BD10" s="301"/>
      <c r="BE10" s="301"/>
      <c r="BF10" s="301"/>
      <c r="BG10" s="301"/>
      <c r="BH10" s="301"/>
      <c r="BI10" s="301"/>
      <c r="BJ10" s="301"/>
      <c r="BK10" s="301"/>
      <c r="BL10" s="301"/>
      <c r="BM10" s="301"/>
      <c r="BN10" s="301"/>
      <c r="BO10" s="301"/>
      <c r="BP10" s="301"/>
      <c r="BQ10" s="301"/>
      <c r="BR10" s="301"/>
      <c r="BS10" s="301"/>
      <c r="BT10" s="301"/>
      <c r="BU10" s="301"/>
      <c r="BV10" s="301"/>
      <c r="BW10" s="301"/>
      <c r="BX10" s="301"/>
      <c r="BY10" s="301"/>
      <c r="BZ10" s="301"/>
      <c r="CA10" s="301"/>
      <c r="CB10" s="301"/>
      <c r="CC10" s="301"/>
      <c r="CD10" s="301"/>
      <c r="CE10" s="301"/>
      <c r="CF10" s="301"/>
      <c r="CG10" s="301"/>
      <c r="CH10" s="301"/>
      <c r="CI10" s="301"/>
      <c r="CJ10" s="301"/>
      <c r="CK10" s="301"/>
      <c r="CL10" s="301"/>
      <c r="CM10" s="301"/>
      <c r="CN10" s="301"/>
      <c r="CO10" s="301"/>
      <c r="CP10" s="301"/>
      <c r="CQ10" s="301"/>
      <c r="CR10" s="301"/>
      <c r="CS10" s="301"/>
      <c r="CT10" s="301"/>
      <c r="CU10" s="301"/>
      <c r="CV10" s="301"/>
      <c r="CW10" s="301"/>
      <c r="CX10" s="301"/>
      <c r="CY10" s="301"/>
      <c r="CZ10" s="301"/>
      <c r="DA10" s="301"/>
      <c r="DB10" s="301"/>
      <c r="DC10" s="301"/>
      <c r="DD10" s="301"/>
      <c r="DE10" s="301"/>
      <c r="DF10" s="301"/>
      <c r="DG10" s="301"/>
      <c r="DH10" s="301"/>
      <c r="DI10" s="301"/>
      <c r="DJ10" s="301"/>
      <c r="DK10" s="301"/>
      <c r="DL10" s="301"/>
      <c r="DM10" s="301"/>
      <c r="DN10" s="301"/>
      <c r="DO10" s="301"/>
      <c r="DP10" s="301"/>
      <c r="DQ10" s="301"/>
      <c r="DR10" s="301"/>
      <c r="DS10" s="301"/>
      <c r="DT10" s="301"/>
      <c r="DU10" s="301"/>
      <c r="DV10" s="301"/>
      <c r="DW10" s="301"/>
      <c r="DX10" s="301"/>
      <c r="DY10" s="301"/>
      <c r="DZ10" s="301"/>
      <c r="EA10" s="301"/>
      <c r="EB10" s="301"/>
      <c r="EC10" s="301"/>
      <c r="ED10" s="301"/>
      <c r="EE10" s="301"/>
      <c r="EF10" s="301"/>
      <c r="EG10" s="301"/>
      <c r="EH10" s="301"/>
      <c r="EI10" s="301"/>
      <c r="EJ10" s="301"/>
      <c r="EK10" s="301"/>
      <c r="EL10" s="301"/>
      <c r="EM10" s="301"/>
      <c r="EN10" s="301"/>
      <c r="EO10" s="301"/>
      <c r="EP10" s="301"/>
      <c r="EQ10" s="301"/>
      <c r="ER10" s="301"/>
      <c r="ES10" s="301"/>
      <c r="ET10" s="301"/>
      <c r="EU10" s="301"/>
      <c r="EV10" s="301"/>
      <c r="EW10" s="301"/>
      <c r="EX10" s="301"/>
      <c r="EY10" s="301"/>
      <c r="EZ10" s="301"/>
      <c r="FA10" s="301"/>
      <c r="FB10" s="301"/>
      <c r="FC10" s="301"/>
      <c r="FD10" s="301"/>
      <c r="FE10" s="301"/>
      <c r="FF10" s="301"/>
      <c r="FG10" s="301"/>
      <c r="FH10" s="301"/>
      <c r="FI10" s="301"/>
      <c r="FJ10" s="301"/>
      <c r="FK10" s="301"/>
      <c r="FL10" s="301"/>
      <c r="FM10" s="301"/>
      <c r="FN10" s="301"/>
      <c r="FO10" s="301"/>
      <c r="FP10" s="301"/>
      <c r="FQ10" s="301"/>
      <c r="FR10" s="301"/>
      <c r="FS10" s="301"/>
      <c r="FT10" s="301"/>
      <c r="FU10" s="301"/>
      <c r="FV10" s="301"/>
      <c r="FW10" s="301"/>
      <c r="FX10" s="301"/>
      <c r="FY10" s="301"/>
      <c r="FZ10" s="301"/>
      <c r="GA10" s="301"/>
      <c r="GB10" s="301"/>
      <c r="GC10" s="301"/>
      <c r="GD10" s="301"/>
      <c r="GE10" s="301"/>
      <c r="GF10" s="301"/>
      <c r="GG10" s="301"/>
      <c r="GH10" s="301"/>
      <c r="GI10" s="301"/>
      <c r="GJ10" s="301"/>
      <c r="GK10" s="301"/>
      <c r="GL10" s="301"/>
      <c r="GM10" s="301"/>
      <c r="GN10" s="301"/>
      <c r="GO10" s="301"/>
      <c r="GP10" s="301"/>
      <c r="GQ10" s="301"/>
      <c r="GR10" s="301"/>
      <c r="GS10" s="301"/>
      <c r="GT10" s="301"/>
      <c r="GU10" s="301"/>
      <c r="GV10" s="301"/>
      <c r="GW10" s="301"/>
      <c r="GX10" s="301"/>
      <c r="GY10" s="301"/>
      <c r="GZ10" s="301"/>
      <c r="HA10" s="301"/>
      <c r="HB10" s="301"/>
      <c r="HC10" s="301"/>
      <c r="HD10" s="301"/>
      <c r="HE10" s="301"/>
      <c r="HF10" s="301"/>
      <c r="HG10" s="301"/>
      <c r="HH10" s="301"/>
      <c r="HI10" s="301"/>
      <c r="HJ10" s="301"/>
      <c r="HK10" s="301"/>
      <c r="HL10" s="301"/>
      <c r="HM10" s="301"/>
      <c r="HN10" s="301"/>
      <c r="HO10" s="301"/>
      <c r="HP10" s="301"/>
      <c r="HQ10" s="301"/>
      <c r="HR10" s="301"/>
      <c r="HS10" s="301"/>
      <c r="HT10" s="301"/>
      <c r="HU10" s="301"/>
      <c r="HV10" s="301"/>
      <c r="HW10" s="301"/>
      <c r="HX10" s="301"/>
      <c r="HY10" s="301"/>
      <c r="HZ10" s="301"/>
      <c r="IA10" s="301"/>
      <c r="IB10" s="301"/>
      <c r="IC10" s="301"/>
      <c r="ID10" s="301"/>
      <c r="IE10" s="301"/>
      <c r="IF10" s="301"/>
      <c r="IG10" s="301"/>
      <c r="IH10" s="301"/>
      <c r="II10" s="301"/>
      <c r="IJ10" s="301"/>
      <c r="IK10" s="301"/>
      <c r="IL10" s="301"/>
      <c r="IM10" s="301"/>
      <c r="IN10" s="301"/>
      <c r="IO10" s="301"/>
      <c r="IP10" s="301"/>
      <c r="IQ10" s="301"/>
      <c r="IR10" s="301"/>
      <c r="IS10" s="301"/>
      <c r="IT10" s="301"/>
      <c r="IU10" s="301"/>
      <c r="IV10" s="301"/>
    </row>
    <row r="11" spans="1:256" x14ac:dyDescent="0.25">
      <c r="A11" s="296">
        <v>2010</v>
      </c>
      <c r="B11" s="398">
        <v>2771</v>
      </c>
      <c r="C11" s="399">
        <f>B11/R11</f>
        <v>0.90555555555555556</v>
      </c>
      <c r="D11" s="398">
        <v>225</v>
      </c>
      <c r="E11" s="399">
        <f>D11/R11</f>
        <v>7.3529411764705885E-2</v>
      </c>
      <c r="F11" s="398">
        <f>B11+D11</f>
        <v>2996</v>
      </c>
      <c r="G11" s="400">
        <f>F11/R11</f>
        <v>0.9790849673202614</v>
      </c>
      <c r="H11" s="398">
        <v>62</v>
      </c>
      <c r="I11" s="399">
        <f>H11/R11</f>
        <v>2.0261437908496733E-2</v>
      </c>
      <c r="J11" s="398">
        <v>2</v>
      </c>
      <c r="K11" s="399">
        <f>J11/R11</f>
        <v>6.5359477124183002E-4</v>
      </c>
      <c r="L11" s="398">
        <f>H11+J11</f>
        <v>64</v>
      </c>
      <c r="M11" s="400">
        <f>L11/R11</f>
        <v>2.0915032679738561E-2</v>
      </c>
      <c r="N11" s="398">
        <f>B11+H11</f>
        <v>2833</v>
      </c>
      <c r="O11" s="399">
        <f>N11/R11</f>
        <v>0.92581699346405233</v>
      </c>
      <c r="P11" s="398">
        <f>D11+J11</f>
        <v>227</v>
      </c>
      <c r="Q11" s="399">
        <f>P11/R11</f>
        <v>7.4183006535947713E-2</v>
      </c>
      <c r="R11" s="398">
        <f>N11+P11</f>
        <v>3060</v>
      </c>
      <c r="S11" s="401">
        <f>SUM(G11,M11)</f>
        <v>1</v>
      </c>
      <c r="T11" s="276"/>
      <c r="U11" s="276"/>
      <c r="V11" s="276"/>
      <c r="W11" s="276"/>
      <c r="X11" s="276"/>
      <c r="Y11" s="276"/>
      <c r="Z11" s="276"/>
      <c r="AA11" s="276"/>
      <c r="AB11" s="276"/>
      <c r="AC11" s="276"/>
      <c r="AD11" s="276"/>
      <c r="AE11" s="276"/>
      <c r="AF11" s="276"/>
      <c r="AG11" s="276"/>
      <c r="AH11" s="276"/>
      <c r="AI11" s="276"/>
      <c r="AJ11" s="276"/>
      <c r="AK11" s="276"/>
      <c r="AL11" s="276"/>
      <c r="AM11" s="276"/>
      <c r="AN11" s="276"/>
      <c r="AO11" s="276"/>
      <c r="AP11" s="276"/>
      <c r="AQ11" s="276"/>
      <c r="AR11" s="276"/>
      <c r="AS11" s="276"/>
      <c r="AT11" s="276"/>
      <c r="AU11" s="276"/>
      <c r="AV11" s="276"/>
      <c r="AW11" s="276"/>
      <c r="AX11" s="276"/>
      <c r="AY11" s="276"/>
      <c r="AZ11" s="276"/>
      <c r="BA11" s="276"/>
      <c r="BB11" s="276"/>
      <c r="BC11" s="276"/>
      <c r="BD11" s="276"/>
      <c r="BE11" s="276"/>
      <c r="BF11" s="276"/>
      <c r="BG11" s="276"/>
      <c r="BH11" s="276"/>
      <c r="BI11" s="276"/>
      <c r="BJ11" s="276"/>
      <c r="BK11" s="276"/>
      <c r="BL11" s="276"/>
      <c r="BM11" s="276"/>
      <c r="BN11" s="276"/>
      <c r="BO11" s="276"/>
      <c r="BP11" s="276"/>
      <c r="BQ11" s="276"/>
      <c r="BR11" s="276"/>
      <c r="BS11" s="276"/>
      <c r="BT11" s="276"/>
      <c r="BU11" s="276"/>
      <c r="BV11" s="276"/>
      <c r="BW11" s="276"/>
      <c r="BX11" s="276"/>
      <c r="BY11" s="276"/>
      <c r="BZ11" s="276"/>
      <c r="CA11" s="276"/>
      <c r="CB11" s="276"/>
      <c r="CC11" s="276"/>
      <c r="CD11" s="276"/>
      <c r="CE11" s="276"/>
      <c r="CF11" s="276"/>
      <c r="CG11" s="276"/>
      <c r="CH11" s="276"/>
      <c r="CI11" s="276"/>
      <c r="CJ11" s="276"/>
      <c r="CK11" s="276"/>
      <c r="CL11" s="276"/>
      <c r="CM11" s="276"/>
      <c r="CN11" s="276"/>
      <c r="CO11" s="276"/>
      <c r="CP11" s="276"/>
      <c r="CQ11" s="276"/>
      <c r="CR11" s="276"/>
      <c r="CS11" s="276"/>
      <c r="CT11" s="276"/>
      <c r="CU11" s="276"/>
      <c r="CV11" s="276"/>
      <c r="CW11" s="276"/>
      <c r="CX11" s="276"/>
      <c r="CY11" s="276"/>
      <c r="CZ11" s="276"/>
      <c r="DA11" s="276"/>
      <c r="DB11" s="276"/>
      <c r="DC11" s="276"/>
      <c r="DD11" s="276"/>
      <c r="DE11" s="276"/>
      <c r="DF11" s="276"/>
      <c r="DG11" s="276"/>
      <c r="DH11" s="276"/>
      <c r="DI11" s="276"/>
      <c r="DJ11" s="276"/>
      <c r="DK11" s="276"/>
      <c r="DL11" s="276"/>
      <c r="DM11" s="276"/>
      <c r="DN11" s="276"/>
      <c r="DO11" s="276"/>
      <c r="DP11" s="276"/>
      <c r="DQ11" s="276"/>
      <c r="DR11" s="276"/>
      <c r="DS11" s="276"/>
      <c r="DT11" s="276"/>
      <c r="DU11" s="276"/>
      <c r="DV11" s="276"/>
      <c r="DW11" s="276"/>
      <c r="DX11" s="276"/>
      <c r="DY11" s="276"/>
      <c r="DZ11" s="276"/>
      <c r="EA11" s="276"/>
      <c r="EB11" s="276"/>
      <c r="EC11" s="276"/>
      <c r="ED11" s="276"/>
      <c r="EE11" s="276"/>
      <c r="EF11" s="276"/>
      <c r="EG11" s="276"/>
      <c r="EH11" s="276"/>
      <c r="EI11" s="276"/>
      <c r="EJ11" s="276"/>
      <c r="EK11" s="276"/>
      <c r="EL11" s="276"/>
      <c r="EM11" s="276"/>
      <c r="EN11" s="276"/>
      <c r="EO11" s="276"/>
      <c r="EP11" s="276"/>
      <c r="EQ11" s="276"/>
      <c r="ER11" s="276"/>
      <c r="ES11" s="276"/>
      <c r="ET11" s="276"/>
      <c r="EU11" s="276"/>
      <c r="EV11" s="276"/>
      <c r="EW11" s="276"/>
      <c r="EX11" s="276"/>
      <c r="EY11" s="276"/>
      <c r="EZ11" s="276"/>
      <c r="FA11" s="276"/>
      <c r="FB11" s="276"/>
      <c r="FC11" s="276"/>
      <c r="FD11" s="276"/>
      <c r="FE11" s="276"/>
      <c r="FF11" s="276"/>
      <c r="FG11" s="276"/>
      <c r="FH11" s="276"/>
      <c r="FI11" s="276"/>
      <c r="FJ11" s="276"/>
      <c r="FK11" s="276"/>
      <c r="FL11" s="276"/>
      <c r="FM11" s="276"/>
      <c r="FN11" s="276"/>
      <c r="FO11" s="276"/>
      <c r="FP11" s="276"/>
      <c r="FQ11" s="276"/>
      <c r="FR11" s="276"/>
      <c r="FS11" s="276"/>
      <c r="FT11" s="276"/>
      <c r="FU11" s="276"/>
      <c r="FV11" s="276"/>
      <c r="FW11" s="276"/>
      <c r="FX11" s="276"/>
      <c r="FY11" s="276"/>
      <c r="FZ11" s="276"/>
      <c r="GA11" s="276"/>
      <c r="GB11" s="276"/>
      <c r="GC11" s="276"/>
      <c r="GD11" s="276"/>
      <c r="GE11" s="276"/>
      <c r="GF11" s="276"/>
      <c r="GG11" s="276"/>
      <c r="GH11" s="276"/>
      <c r="GI11" s="276"/>
      <c r="GJ11" s="276"/>
      <c r="GK11" s="276"/>
      <c r="GL11" s="276"/>
      <c r="GM11" s="276"/>
      <c r="GN11" s="276"/>
      <c r="GO11" s="276"/>
      <c r="GP11" s="276"/>
      <c r="GQ11" s="276"/>
      <c r="GR11" s="276"/>
      <c r="GS11" s="276"/>
      <c r="GT11" s="276"/>
      <c r="GU11" s="276"/>
      <c r="GV11" s="276"/>
      <c r="GW11" s="276"/>
      <c r="GX11" s="276"/>
      <c r="GY11" s="276"/>
      <c r="GZ11" s="276"/>
      <c r="HA11" s="276"/>
      <c r="HB11" s="276"/>
      <c r="HC11" s="276"/>
      <c r="HD11" s="276"/>
      <c r="HE11" s="276"/>
      <c r="HF11" s="276"/>
      <c r="HG11" s="276"/>
      <c r="HH11" s="276"/>
      <c r="HI11" s="276"/>
      <c r="HJ11" s="276"/>
      <c r="HK11" s="276"/>
      <c r="HL11" s="276"/>
      <c r="HM11" s="276"/>
      <c r="HN11" s="276"/>
      <c r="HO11" s="276"/>
      <c r="HP11" s="276"/>
      <c r="HQ11" s="276"/>
      <c r="HR11" s="276"/>
      <c r="HS11" s="276"/>
      <c r="HT11" s="276"/>
      <c r="HU11" s="276"/>
      <c r="HV11" s="276"/>
      <c r="HW11" s="276"/>
      <c r="HX11" s="276"/>
      <c r="HY11" s="276"/>
      <c r="HZ11" s="276"/>
      <c r="IA11" s="276"/>
      <c r="IB11" s="276"/>
      <c r="IC11" s="276"/>
      <c r="ID11" s="276"/>
      <c r="IE11" s="276"/>
      <c r="IF11" s="276"/>
      <c r="IG11" s="276"/>
      <c r="IH11" s="276"/>
      <c r="II11" s="276"/>
      <c r="IJ11" s="276"/>
      <c r="IK11" s="276"/>
      <c r="IL11" s="276"/>
      <c r="IM11" s="276"/>
      <c r="IN11" s="276"/>
      <c r="IO11" s="276"/>
      <c r="IP11" s="276"/>
      <c r="IQ11" s="276"/>
      <c r="IR11" s="276"/>
      <c r="IS11" s="276"/>
      <c r="IT11" s="276"/>
      <c r="IU11" s="276"/>
      <c r="IV11" s="276"/>
    </row>
    <row r="12" spans="1:256" x14ac:dyDescent="0.25">
      <c r="A12" s="433"/>
      <c r="B12" s="434"/>
      <c r="C12" s="426"/>
      <c r="D12" s="434"/>
      <c r="E12" s="426"/>
      <c r="F12" s="434"/>
      <c r="G12" s="435"/>
      <c r="H12" s="434"/>
      <c r="I12" s="426"/>
      <c r="J12" s="434"/>
      <c r="K12" s="426"/>
      <c r="L12" s="434"/>
      <c r="M12" s="435"/>
      <c r="N12" s="434"/>
      <c r="O12" s="426"/>
      <c r="P12" s="434"/>
      <c r="Q12" s="426"/>
      <c r="R12" s="434"/>
      <c r="S12" s="436"/>
      <c r="T12" s="276"/>
      <c r="U12" s="276"/>
      <c r="V12" s="276"/>
      <c r="W12" s="276"/>
      <c r="X12" s="276"/>
      <c r="Y12" s="276"/>
      <c r="Z12" s="276"/>
      <c r="AA12" s="276"/>
      <c r="AB12" s="276"/>
      <c r="AC12" s="276"/>
      <c r="AD12" s="276"/>
      <c r="AE12" s="276"/>
      <c r="AF12" s="276"/>
      <c r="AG12" s="276"/>
      <c r="AH12" s="276"/>
      <c r="AI12" s="276"/>
      <c r="AJ12" s="276"/>
      <c r="AK12" s="276"/>
      <c r="AL12" s="276"/>
      <c r="AM12" s="276"/>
      <c r="AN12" s="276"/>
      <c r="AO12" s="276"/>
      <c r="AP12" s="276"/>
      <c r="AQ12" s="276"/>
      <c r="AR12" s="276"/>
      <c r="AS12" s="276"/>
      <c r="AT12" s="276"/>
      <c r="AU12" s="276"/>
      <c r="AV12" s="276"/>
      <c r="AW12" s="276"/>
      <c r="AX12" s="276"/>
      <c r="AY12" s="276"/>
      <c r="AZ12" s="276"/>
      <c r="BA12" s="276"/>
      <c r="BB12" s="276"/>
      <c r="BC12" s="276"/>
      <c r="BD12" s="276"/>
      <c r="BE12" s="276"/>
      <c r="BF12" s="276"/>
      <c r="BG12" s="276"/>
      <c r="BH12" s="276"/>
      <c r="BI12" s="276"/>
      <c r="BJ12" s="276"/>
      <c r="BK12" s="276"/>
      <c r="BL12" s="276"/>
      <c r="BM12" s="276"/>
      <c r="BN12" s="276"/>
      <c r="BO12" s="276"/>
      <c r="BP12" s="276"/>
      <c r="BQ12" s="276"/>
      <c r="BR12" s="276"/>
      <c r="BS12" s="276"/>
      <c r="BT12" s="276"/>
      <c r="BU12" s="276"/>
      <c r="BV12" s="276"/>
      <c r="BW12" s="276"/>
      <c r="BX12" s="276"/>
      <c r="BY12" s="276"/>
      <c r="BZ12" s="276"/>
      <c r="CA12" s="276"/>
      <c r="CB12" s="276"/>
      <c r="CC12" s="276"/>
      <c r="CD12" s="276"/>
      <c r="CE12" s="276"/>
      <c r="CF12" s="276"/>
      <c r="CG12" s="276"/>
      <c r="CH12" s="276"/>
      <c r="CI12" s="276"/>
      <c r="CJ12" s="276"/>
      <c r="CK12" s="276"/>
      <c r="CL12" s="276"/>
      <c r="CM12" s="276"/>
      <c r="CN12" s="276"/>
      <c r="CO12" s="276"/>
      <c r="CP12" s="276"/>
      <c r="CQ12" s="276"/>
      <c r="CR12" s="276"/>
      <c r="CS12" s="276"/>
      <c r="CT12" s="276"/>
      <c r="CU12" s="276"/>
      <c r="CV12" s="276"/>
      <c r="CW12" s="276"/>
      <c r="CX12" s="276"/>
      <c r="CY12" s="276"/>
      <c r="CZ12" s="276"/>
      <c r="DA12" s="276"/>
      <c r="DB12" s="276"/>
      <c r="DC12" s="276"/>
      <c r="DD12" s="276"/>
      <c r="DE12" s="276"/>
      <c r="DF12" s="276"/>
      <c r="DG12" s="276"/>
      <c r="DH12" s="276"/>
      <c r="DI12" s="276"/>
      <c r="DJ12" s="276"/>
      <c r="DK12" s="276"/>
      <c r="DL12" s="276"/>
      <c r="DM12" s="276"/>
      <c r="DN12" s="276"/>
      <c r="DO12" s="276"/>
      <c r="DP12" s="276"/>
      <c r="DQ12" s="276"/>
      <c r="DR12" s="276"/>
      <c r="DS12" s="276"/>
      <c r="DT12" s="276"/>
      <c r="DU12" s="276"/>
      <c r="DV12" s="276"/>
      <c r="DW12" s="276"/>
      <c r="DX12" s="276"/>
      <c r="DY12" s="276"/>
      <c r="DZ12" s="276"/>
      <c r="EA12" s="276"/>
      <c r="EB12" s="276"/>
      <c r="EC12" s="276"/>
      <c r="ED12" s="276"/>
      <c r="EE12" s="276"/>
      <c r="EF12" s="276"/>
      <c r="EG12" s="276"/>
      <c r="EH12" s="276"/>
      <c r="EI12" s="276"/>
      <c r="EJ12" s="276"/>
      <c r="EK12" s="276"/>
      <c r="EL12" s="276"/>
      <c r="EM12" s="276"/>
      <c r="EN12" s="276"/>
      <c r="EO12" s="276"/>
      <c r="EP12" s="276"/>
      <c r="EQ12" s="276"/>
      <c r="ER12" s="276"/>
      <c r="ES12" s="276"/>
      <c r="ET12" s="276"/>
      <c r="EU12" s="276"/>
      <c r="EV12" s="276"/>
      <c r="EW12" s="276"/>
      <c r="EX12" s="276"/>
      <c r="EY12" s="276"/>
      <c r="EZ12" s="276"/>
      <c r="FA12" s="276"/>
      <c r="FB12" s="276"/>
      <c r="FC12" s="276"/>
      <c r="FD12" s="276"/>
      <c r="FE12" s="276"/>
      <c r="FF12" s="276"/>
      <c r="FG12" s="276"/>
      <c r="FH12" s="276"/>
      <c r="FI12" s="276"/>
      <c r="FJ12" s="276"/>
      <c r="FK12" s="276"/>
      <c r="FL12" s="276"/>
      <c r="FM12" s="276"/>
      <c r="FN12" s="276"/>
      <c r="FO12" s="276"/>
      <c r="FP12" s="276"/>
      <c r="FQ12" s="276"/>
      <c r="FR12" s="276"/>
      <c r="FS12" s="276"/>
      <c r="FT12" s="276"/>
      <c r="FU12" s="276"/>
      <c r="FV12" s="276"/>
      <c r="FW12" s="276"/>
      <c r="FX12" s="276"/>
      <c r="FY12" s="276"/>
      <c r="FZ12" s="276"/>
      <c r="GA12" s="276"/>
      <c r="GB12" s="276"/>
      <c r="GC12" s="276"/>
      <c r="GD12" s="276"/>
      <c r="GE12" s="276"/>
      <c r="GF12" s="276"/>
      <c r="GG12" s="276"/>
      <c r="GH12" s="276"/>
      <c r="GI12" s="276"/>
      <c r="GJ12" s="276"/>
      <c r="GK12" s="276"/>
      <c r="GL12" s="276"/>
      <c r="GM12" s="276"/>
      <c r="GN12" s="276"/>
      <c r="GO12" s="276"/>
      <c r="GP12" s="276"/>
      <c r="GQ12" s="276"/>
      <c r="GR12" s="276"/>
      <c r="GS12" s="276"/>
      <c r="GT12" s="276"/>
      <c r="GU12" s="276"/>
      <c r="GV12" s="276"/>
      <c r="GW12" s="276"/>
      <c r="GX12" s="276"/>
      <c r="GY12" s="276"/>
      <c r="GZ12" s="276"/>
      <c r="HA12" s="276"/>
      <c r="HB12" s="276"/>
      <c r="HC12" s="276"/>
      <c r="HD12" s="276"/>
      <c r="HE12" s="276"/>
      <c r="HF12" s="276"/>
      <c r="HG12" s="276"/>
      <c r="HH12" s="276"/>
      <c r="HI12" s="276"/>
      <c r="HJ12" s="276"/>
      <c r="HK12" s="276"/>
      <c r="HL12" s="276"/>
      <c r="HM12" s="276"/>
      <c r="HN12" s="276"/>
      <c r="HO12" s="276"/>
      <c r="HP12" s="276"/>
      <c r="HQ12" s="276"/>
      <c r="HR12" s="276"/>
      <c r="HS12" s="276"/>
      <c r="HT12" s="276"/>
      <c r="HU12" s="276"/>
      <c r="HV12" s="276"/>
      <c r="HW12" s="276"/>
      <c r="HX12" s="276"/>
      <c r="HY12" s="276"/>
      <c r="HZ12" s="276"/>
      <c r="IA12" s="276"/>
      <c r="IB12" s="276"/>
      <c r="IC12" s="276"/>
      <c r="ID12" s="276"/>
      <c r="IE12" s="276"/>
      <c r="IF12" s="276"/>
      <c r="IG12" s="276"/>
      <c r="IH12" s="276"/>
      <c r="II12" s="276"/>
      <c r="IJ12" s="276"/>
      <c r="IK12" s="276"/>
      <c r="IL12" s="276"/>
      <c r="IM12" s="276"/>
      <c r="IN12" s="276"/>
      <c r="IO12" s="276"/>
      <c r="IP12" s="276"/>
      <c r="IQ12" s="276"/>
      <c r="IR12" s="276"/>
      <c r="IS12" s="276"/>
      <c r="IT12" s="276"/>
      <c r="IU12" s="276"/>
      <c r="IV12" s="276"/>
    </row>
    <row r="13" spans="1:256" x14ac:dyDescent="0.25">
      <c r="A13" s="296">
        <v>2011</v>
      </c>
      <c r="B13" s="398">
        <v>2820</v>
      </c>
      <c r="C13" s="399">
        <f>B13/R13</f>
        <v>0.9188660801564027</v>
      </c>
      <c r="D13" s="398">
        <v>218</v>
      </c>
      <c r="E13" s="399">
        <f>D13/R13</f>
        <v>7.1032909742587164E-2</v>
      </c>
      <c r="F13" s="398">
        <f>B13+D13</f>
        <v>3038</v>
      </c>
      <c r="G13" s="400">
        <f>F13/R13</f>
        <v>0.98989898989898994</v>
      </c>
      <c r="H13" s="398">
        <v>30</v>
      </c>
      <c r="I13" s="399">
        <f>H13/R13</f>
        <v>9.7751710654936461E-3</v>
      </c>
      <c r="J13" s="398">
        <v>1</v>
      </c>
      <c r="K13" s="399">
        <f>J13/R13</f>
        <v>3.2583903551645487E-4</v>
      </c>
      <c r="L13" s="398">
        <f>H13+J13</f>
        <v>31</v>
      </c>
      <c r="M13" s="400">
        <f>L13/R13</f>
        <v>1.0101010101010102E-2</v>
      </c>
      <c r="N13" s="398">
        <f>B13+H13</f>
        <v>2850</v>
      </c>
      <c r="O13" s="399">
        <f>N13/R13</f>
        <v>0.92864125122189634</v>
      </c>
      <c r="P13" s="398">
        <f>D13+J13</f>
        <v>219</v>
      </c>
      <c r="Q13" s="399">
        <f>P13/R13</f>
        <v>7.1358748778103623E-2</v>
      </c>
      <c r="R13" s="398">
        <f>N13+P13</f>
        <v>3069</v>
      </c>
      <c r="S13" s="401">
        <f>SUM(G13,M13)</f>
        <v>1</v>
      </c>
      <c r="T13" s="276"/>
      <c r="U13" s="276"/>
      <c r="V13" s="276"/>
      <c r="W13" s="276"/>
      <c r="X13" s="276"/>
      <c r="Y13" s="276"/>
      <c r="Z13" s="276"/>
      <c r="AA13" s="276"/>
      <c r="AB13" s="276"/>
      <c r="AC13" s="276"/>
      <c r="AD13" s="276"/>
      <c r="AE13" s="276"/>
      <c r="AF13" s="276"/>
      <c r="AG13" s="276"/>
      <c r="AH13" s="276"/>
      <c r="AI13" s="276"/>
      <c r="AJ13" s="276"/>
      <c r="AK13" s="276"/>
      <c r="AL13" s="276"/>
      <c r="AM13" s="276"/>
      <c r="AN13" s="276"/>
      <c r="AO13" s="276"/>
      <c r="AP13" s="276"/>
      <c r="AQ13" s="276"/>
      <c r="AR13" s="276"/>
      <c r="AS13" s="276"/>
      <c r="AT13" s="276"/>
      <c r="AU13" s="276"/>
      <c r="AV13" s="276"/>
      <c r="AW13" s="276"/>
      <c r="AX13" s="276"/>
      <c r="AY13" s="276"/>
      <c r="AZ13" s="276"/>
      <c r="BA13" s="276"/>
      <c r="BB13" s="276"/>
      <c r="BC13" s="276"/>
      <c r="BD13" s="276"/>
      <c r="BE13" s="276"/>
      <c r="BF13" s="276"/>
      <c r="BG13" s="276"/>
      <c r="BH13" s="276"/>
      <c r="BI13" s="276"/>
      <c r="BJ13" s="276"/>
      <c r="BK13" s="276"/>
      <c r="BL13" s="276"/>
      <c r="BM13" s="276"/>
      <c r="BN13" s="276"/>
      <c r="BO13" s="276"/>
      <c r="BP13" s="276"/>
      <c r="BQ13" s="276"/>
      <c r="BR13" s="276"/>
      <c r="BS13" s="276"/>
      <c r="BT13" s="276"/>
      <c r="BU13" s="276"/>
      <c r="BV13" s="276"/>
      <c r="BW13" s="276"/>
      <c r="BX13" s="276"/>
      <c r="BY13" s="276"/>
      <c r="BZ13" s="276"/>
      <c r="CA13" s="276"/>
      <c r="CB13" s="276"/>
      <c r="CC13" s="276"/>
      <c r="CD13" s="276"/>
      <c r="CE13" s="276"/>
      <c r="CF13" s="276"/>
      <c r="CG13" s="276"/>
      <c r="CH13" s="276"/>
      <c r="CI13" s="276"/>
      <c r="CJ13" s="276"/>
      <c r="CK13" s="276"/>
      <c r="CL13" s="276"/>
      <c r="CM13" s="276"/>
      <c r="CN13" s="276"/>
      <c r="CO13" s="276"/>
      <c r="CP13" s="276"/>
      <c r="CQ13" s="276"/>
      <c r="CR13" s="276"/>
      <c r="CS13" s="276"/>
      <c r="CT13" s="276"/>
      <c r="CU13" s="276"/>
      <c r="CV13" s="276"/>
      <c r="CW13" s="276"/>
      <c r="CX13" s="276"/>
      <c r="CY13" s="276"/>
      <c r="CZ13" s="276"/>
      <c r="DA13" s="276"/>
      <c r="DB13" s="276"/>
      <c r="DC13" s="276"/>
      <c r="DD13" s="276"/>
      <c r="DE13" s="276"/>
      <c r="DF13" s="276"/>
      <c r="DG13" s="276"/>
      <c r="DH13" s="276"/>
      <c r="DI13" s="276"/>
      <c r="DJ13" s="276"/>
      <c r="DK13" s="276"/>
      <c r="DL13" s="276"/>
      <c r="DM13" s="276"/>
      <c r="DN13" s="276"/>
      <c r="DO13" s="276"/>
      <c r="DP13" s="276"/>
      <c r="DQ13" s="276"/>
      <c r="DR13" s="276"/>
      <c r="DS13" s="276"/>
      <c r="DT13" s="276"/>
      <c r="DU13" s="276"/>
      <c r="DV13" s="276"/>
      <c r="DW13" s="276"/>
      <c r="DX13" s="276"/>
      <c r="DY13" s="276"/>
      <c r="DZ13" s="276"/>
      <c r="EA13" s="276"/>
      <c r="EB13" s="276"/>
      <c r="EC13" s="276"/>
      <c r="ED13" s="276"/>
      <c r="EE13" s="276"/>
      <c r="EF13" s="276"/>
      <c r="EG13" s="276"/>
      <c r="EH13" s="276"/>
      <c r="EI13" s="276"/>
      <c r="EJ13" s="276"/>
      <c r="EK13" s="276"/>
      <c r="EL13" s="276"/>
      <c r="EM13" s="276"/>
      <c r="EN13" s="276"/>
      <c r="EO13" s="276"/>
      <c r="EP13" s="276"/>
      <c r="EQ13" s="276"/>
      <c r="ER13" s="276"/>
      <c r="ES13" s="276"/>
      <c r="ET13" s="276"/>
      <c r="EU13" s="276"/>
      <c r="EV13" s="276"/>
      <c r="EW13" s="276"/>
      <c r="EX13" s="276"/>
      <c r="EY13" s="276"/>
      <c r="EZ13" s="276"/>
      <c r="FA13" s="276"/>
      <c r="FB13" s="276"/>
      <c r="FC13" s="276"/>
      <c r="FD13" s="276"/>
      <c r="FE13" s="276"/>
      <c r="FF13" s="276"/>
      <c r="FG13" s="276"/>
      <c r="FH13" s="276"/>
      <c r="FI13" s="276"/>
      <c r="FJ13" s="276"/>
      <c r="FK13" s="276"/>
      <c r="FL13" s="276"/>
      <c r="FM13" s="276"/>
      <c r="FN13" s="276"/>
      <c r="FO13" s="276"/>
      <c r="FP13" s="276"/>
      <c r="FQ13" s="276"/>
      <c r="FR13" s="276"/>
      <c r="FS13" s="276"/>
      <c r="FT13" s="276"/>
      <c r="FU13" s="276"/>
      <c r="FV13" s="276"/>
      <c r="FW13" s="276"/>
      <c r="FX13" s="276"/>
      <c r="FY13" s="276"/>
      <c r="FZ13" s="276"/>
      <c r="GA13" s="276"/>
      <c r="GB13" s="276"/>
      <c r="GC13" s="276"/>
      <c r="GD13" s="276"/>
      <c r="GE13" s="276"/>
      <c r="GF13" s="276"/>
      <c r="GG13" s="276"/>
      <c r="GH13" s="276"/>
      <c r="GI13" s="276"/>
      <c r="GJ13" s="276"/>
      <c r="GK13" s="276"/>
      <c r="GL13" s="276"/>
      <c r="GM13" s="276"/>
      <c r="GN13" s="276"/>
      <c r="GO13" s="276"/>
      <c r="GP13" s="276"/>
      <c r="GQ13" s="276"/>
      <c r="GR13" s="276"/>
      <c r="GS13" s="276"/>
      <c r="GT13" s="276"/>
      <c r="GU13" s="276"/>
      <c r="GV13" s="276"/>
      <c r="GW13" s="276"/>
      <c r="GX13" s="276"/>
      <c r="GY13" s="276"/>
      <c r="GZ13" s="276"/>
      <c r="HA13" s="276"/>
      <c r="HB13" s="276"/>
      <c r="HC13" s="276"/>
      <c r="HD13" s="276"/>
      <c r="HE13" s="276"/>
      <c r="HF13" s="276"/>
      <c r="HG13" s="276"/>
      <c r="HH13" s="276"/>
      <c r="HI13" s="276"/>
      <c r="HJ13" s="276"/>
      <c r="HK13" s="276"/>
      <c r="HL13" s="276"/>
      <c r="HM13" s="276"/>
      <c r="HN13" s="276"/>
      <c r="HO13" s="276"/>
      <c r="HP13" s="276"/>
      <c r="HQ13" s="276"/>
      <c r="HR13" s="276"/>
      <c r="HS13" s="276"/>
      <c r="HT13" s="276"/>
      <c r="HU13" s="276"/>
      <c r="HV13" s="276"/>
      <c r="HW13" s="276"/>
      <c r="HX13" s="276"/>
      <c r="HY13" s="276"/>
      <c r="HZ13" s="276"/>
      <c r="IA13" s="276"/>
      <c r="IB13" s="276"/>
      <c r="IC13" s="276"/>
      <c r="ID13" s="276"/>
      <c r="IE13" s="276"/>
      <c r="IF13" s="276"/>
      <c r="IG13" s="276"/>
      <c r="IH13" s="276"/>
      <c r="II13" s="276"/>
      <c r="IJ13" s="276"/>
      <c r="IK13" s="276"/>
      <c r="IL13" s="276"/>
      <c r="IM13" s="276"/>
      <c r="IN13" s="276"/>
      <c r="IO13" s="276"/>
      <c r="IP13" s="276"/>
      <c r="IQ13" s="276"/>
      <c r="IR13" s="276"/>
      <c r="IS13" s="276"/>
      <c r="IT13" s="276"/>
      <c r="IU13" s="276"/>
      <c r="IV13" s="276"/>
    </row>
    <row r="14" spans="1:256" x14ac:dyDescent="0.25">
      <c r="A14" s="433"/>
      <c r="B14" s="434"/>
      <c r="C14" s="426"/>
      <c r="D14" s="434"/>
      <c r="E14" s="426"/>
      <c r="F14" s="434"/>
      <c r="G14" s="435"/>
      <c r="H14" s="434"/>
      <c r="I14" s="426"/>
      <c r="J14" s="434"/>
      <c r="K14" s="426"/>
      <c r="L14" s="434"/>
      <c r="M14" s="435"/>
      <c r="N14" s="434"/>
      <c r="O14" s="426"/>
      <c r="P14" s="434"/>
      <c r="Q14" s="426"/>
      <c r="R14" s="434"/>
      <c r="S14" s="436"/>
      <c r="T14" s="276"/>
      <c r="U14" s="276"/>
      <c r="V14" s="276"/>
      <c r="W14" s="276"/>
      <c r="X14" s="276"/>
      <c r="Y14" s="276"/>
      <c r="Z14" s="276"/>
      <c r="AA14" s="276"/>
      <c r="AB14" s="276"/>
      <c r="AC14" s="276"/>
      <c r="AD14" s="276"/>
      <c r="AE14" s="276"/>
      <c r="AF14" s="276"/>
      <c r="AG14" s="276"/>
      <c r="AH14" s="276"/>
      <c r="AI14" s="276"/>
      <c r="AJ14" s="276"/>
      <c r="AK14" s="276"/>
      <c r="AL14" s="276"/>
      <c r="AM14" s="276"/>
      <c r="AN14" s="276"/>
      <c r="AO14" s="276"/>
      <c r="AP14" s="276"/>
      <c r="AQ14" s="276"/>
      <c r="AR14" s="276"/>
      <c r="AS14" s="276"/>
      <c r="AT14" s="276"/>
      <c r="AU14" s="276"/>
      <c r="AV14" s="276"/>
      <c r="AW14" s="276"/>
      <c r="AX14" s="276"/>
      <c r="AY14" s="276"/>
      <c r="AZ14" s="276"/>
      <c r="BA14" s="276"/>
      <c r="BB14" s="276"/>
      <c r="BC14" s="276"/>
      <c r="BD14" s="276"/>
      <c r="BE14" s="276"/>
      <c r="BF14" s="276"/>
      <c r="BG14" s="276"/>
      <c r="BH14" s="276"/>
      <c r="BI14" s="276"/>
      <c r="BJ14" s="276"/>
      <c r="BK14" s="276"/>
      <c r="BL14" s="276"/>
      <c r="BM14" s="276"/>
      <c r="BN14" s="276"/>
      <c r="BO14" s="276"/>
      <c r="BP14" s="276"/>
      <c r="BQ14" s="276"/>
      <c r="BR14" s="276"/>
      <c r="BS14" s="276"/>
      <c r="BT14" s="276"/>
      <c r="BU14" s="276"/>
      <c r="BV14" s="276"/>
      <c r="BW14" s="276"/>
      <c r="BX14" s="276"/>
      <c r="BY14" s="276"/>
      <c r="BZ14" s="276"/>
      <c r="CA14" s="276"/>
      <c r="CB14" s="276"/>
      <c r="CC14" s="276"/>
      <c r="CD14" s="276"/>
      <c r="CE14" s="276"/>
      <c r="CF14" s="276"/>
      <c r="CG14" s="276"/>
      <c r="CH14" s="276"/>
      <c r="CI14" s="276"/>
      <c r="CJ14" s="276"/>
      <c r="CK14" s="276"/>
      <c r="CL14" s="276"/>
      <c r="CM14" s="276"/>
      <c r="CN14" s="276"/>
      <c r="CO14" s="276"/>
      <c r="CP14" s="276"/>
      <c r="CQ14" s="276"/>
      <c r="CR14" s="276"/>
      <c r="CS14" s="276"/>
      <c r="CT14" s="276"/>
      <c r="CU14" s="276"/>
      <c r="CV14" s="276"/>
      <c r="CW14" s="276"/>
      <c r="CX14" s="276"/>
      <c r="CY14" s="276"/>
      <c r="CZ14" s="276"/>
      <c r="DA14" s="276"/>
      <c r="DB14" s="276"/>
      <c r="DC14" s="276"/>
      <c r="DD14" s="276"/>
      <c r="DE14" s="276"/>
      <c r="DF14" s="276"/>
      <c r="DG14" s="276"/>
      <c r="DH14" s="276"/>
      <c r="DI14" s="276"/>
      <c r="DJ14" s="276"/>
      <c r="DK14" s="276"/>
      <c r="DL14" s="276"/>
      <c r="DM14" s="276"/>
      <c r="DN14" s="276"/>
      <c r="DO14" s="276"/>
      <c r="DP14" s="276"/>
      <c r="DQ14" s="276"/>
      <c r="DR14" s="276"/>
      <c r="DS14" s="276"/>
      <c r="DT14" s="276"/>
      <c r="DU14" s="276"/>
      <c r="DV14" s="276"/>
      <c r="DW14" s="276"/>
      <c r="DX14" s="276"/>
      <c r="DY14" s="276"/>
      <c r="DZ14" s="276"/>
      <c r="EA14" s="276"/>
      <c r="EB14" s="276"/>
      <c r="EC14" s="276"/>
      <c r="ED14" s="276"/>
      <c r="EE14" s="276"/>
      <c r="EF14" s="276"/>
      <c r="EG14" s="276"/>
      <c r="EH14" s="276"/>
      <c r="EI14" s="276"/>
      <c r="EJ14" s="276"/>
      <c r="EK14" s="276"/>
      <c r="EL14" s="276"/>
      <c r="EM14" s="276"/>
      <c r="EN14" s="276"/>
      <c r="EO14" s="276"/>
      <c r="EP14" s="276"/>
      <c r="EQ14" s="276"/>
      <c r="ER14" s="276"/>
      <c r="ES14" s="276"/>
      <c r="ET14" s="276"/>
      <c r="EU14" s="276"/>
      <c r="EV14" s="276"/>
      <c r="EW14" s="276"/>
      <c r="EX14" s="276"/>
      <c r="EY14" s="276"/>
      <c r="EZ14" s="276"/>
      <c r="FA14" s="276"/>
      <c r="FB14" s="276"/>
      <c r="FC14" s="276"/>
      <c r="FD14" s="276"/>
      <c r="FE14" s="276"/>
      <c r="FF14" s="276"/>
      <c r="FG14" s="276"/>
      <c r="FH14" s="276"/>
      <c r="FI14" s="276"/>
      <c r="FJ14" s="276"/>
      <c r="FK14" s="276"/>
      <c r="FL14" s="276"/>
      <c r="FM14" s="276"/>
      <c r="FN14" s="276"/>
      <c r="FO14" s="276"/>
      <c r="FP14" s="276"/>
      <c r="FQ14" s="276"/>
      <c r="FR14" s="276"/>
      <c r="FS14" s="276"/>
      <c r="FT14" s="276"/>
      <c r="FU14" s="276"/>
      <c r="FV14" s="276"/>
      <c r="FW14" s="276"/>
      <c r="FX14" s="276"/>
      <c r="FY14" s="276"/>
      <c r="FZ14" s="276"/>
      <c r="GA14" s="276"/>
      <c r="GB14" s="276"/>
      <c r="GC14" s="276"/>
      <c r="GD14" s="276"/>
      <c r="GE14" s="276"/>
      <c r="GF14" s="276"/>
      <c r="GG14" s="276"/>
      <c r="GH14" s="276"/>
      <c r="GI14" s="276"/>
      <c r="GJ14" s="276"/>
      <c r="GK14" s="276"/>
      <c r="GL14" s="276"/>
      <c r="GM14" s="276"/>
      <c r="GN14" s="276"/>
      <c r="GO14" s="276"/>
      <c r="GP14" s="276"/>
      <c r="GQ14" s="276"/>
      <c r="GR14" s="276"/>
      <c r="GS14" s="276"/>
      <c r="GT14" s="276"/>
      <c r="GU14" s="276"/>
      <c r="GV14" s="276"/>
      <c r="GW14" s="276"/>
      <c r="GX14" s="276"/>
      <c r="GY14" s="276"/>
      <c r="GZ14" s="276"/>
      <c r="HA14" s="276"/>
      <c r="HB14" s="276"/>
      <c r="HC14" s="276"/>
      <c r="HD14" s="276"/>
      <c r="HE14" s="276"/>
      <c r="HF14" s="276"/>
      <c r="HG14" s="276"/>
      <c r="HH14" s="276"/>
      <c r="HI14" s="276"/>
      <c r="HJ14" s="276"/>
      <c r="HK14" s="276"/>
      <c r="HL14" s="276"/>
      <c r="HM14" s="276"/>
      <c r="HN14" s="276"/>
      <c r="HO14" s="276"/>
      <c r="HP14" s="276"/>
      <c r="HQ14" s="276"/>
      <c r="HR14" s="276"/>
      <c r="HS14" s="276"/>
      <c r="HT14" s="276"/>
      <c r="HU14" s="276"/>
      <c r="HV14" s="276"/>
      <c r="HW14" s="276"/>
      <c r="HX14" s="276"/>
      <c r="HY14" s="276"/>
      <c r="HZ14" s="276"/>
      <c r="IA14" s="276"/>
      <c r="IB14" s="276"/>
      <c r="IC14" s="276"/>
      <c r="ID14" s="276"/>
      <c r="IE14" s="276"/>
      <c r="IF14" s="276"/>
      <c r="IG14" s="276"/>
      <c r="IH14" s="276"/>
      <c r="II14" s="276"/>
      <c r="IJ14" s="276"/>
      <c r="IK14" s="276"/>
      <c r="IL14" s="276"/>
      <c r="IM14" s="276"/>
      <c r="IN14" s="276"/>
      <c r="IO14" s="276"/>
      <c r="IP14" s="276"/>
      <c r="IQ14" s="276"/>
      <c r="IR14" s="276"/>
      <c r="IS14" s="276"/>
      <c r="IT14" s="276"/>
      <c r="IU14" s="276"/>
      <c r="IV14" s="276"/>
    </row>
    <row r="15" spans="1:256" ht="13.5" customHeight="1" x14ac:dyDescent="0.25">
      <c r="A15" s="296">
        <v>2012</v>
      </c>
      <c r="B15" s="398">
        <v>2760</v>
      </c>
      <c r="C15" s="399">
        <f>B15/R15</f>
        <v>0.90521482453263369</v>
      </c>
      <c r="D15" s="398">
        <v>75</v>
      </c>
      <c r="E15" s="399">
        <f>D15/R15</f>
        <v>2.4598228927517219E-2</v>
      </c>
      <c r="F15" s="398">
        <f>B15+D15</f>
        <v>2835</v>
      </c>
      <c r="G15" s="400">
        <f>F15/R15</f>
        <v>0.92981305346015086</v>
      </c>
      <c r="H15" s="398">
        <v>209</v>
      </c>
      <c r="I15" s="399">
        <f>H15/R15</f>
        <v>6.8547064611347977E-2</v>
      </c>
      <c r="J15" s="398">
        <v>5</v>
      </c>
      <c r="K15" s="399">
        <f>J15/R15</f>
        <v>1.6398819285011479E-3</v>
      </c>
      <c r="L15" s="398">
        <f>H15+J15</f>
        <v>214</v>
      </c>
      <c r="M15" s="400">
        <f>L15/R15</f>
        <v>7.0186946539849138E-2</v>
      </c>
      <c r="N15" s="398">
        <f>B15+H15</f>
        <v>2969</v>
      </c>
      <c r="O15" s="399">
        <f>N15/R15</f>
        <v>0.97376188914398165</v>
      </c>
      <c r="P15" s="398">
        <f>D15+J15</f>
        <v>80</v>
      </c>
      <c r="Q15" s="399">
        <f>P15/R15</f>
        <v>2.6238110856018366E-2</v>
      </c>
      <c r="R15" s="398">
        <f>N15+P15</f>
        <v>3049</v>
      </c>
      <c r="S15" s="401">
        <f>SUM(G15,M15)</f>
        <v>1</v>
      </c>
      <c r="T15" s="276"/>
      <c r="U15" s="276"/>
      <c r="V15" s="276"/>
      <c r="W15" s="276"/>
      <c r="X15" s="276"/>
      <c r="Y15" s="276"/>
      <c r="Z15" s="276"/>
      <c r="AA15" s="276"/>
      <c r="AB15" s="276"/>
      <c r="AC15" s="276"/>
      <c r="AD15" s="276"/>
      <c r="AE15" s="276"/>
      <c r="AF15" s="276"/>
      <c r="AG15" s="276"/>
      <c r="AH15" s="276"/>
      <c r="AI15" s="276"/>
      <c r="AJ15" s="276"/>
      <c r="AK15" s="276"/>
      <c r="AL15" s="276"/>
      <c r="AM15" s="276"/>
      <c r="AN15" s="276"/>
      <c r="AO15" s="276"/>
      <c r="AP15" s="276"/>
      <c r="AQ15" s="276"/>
      <c r="AR15" s="276"/>
      <c r="AS15" s="276"/>
      <c r="AT15" s="276"/>
      <c r="AU15" s="276"/>
      <c r="AV15" s="276"/>
      <c r="AW15" s="276"/>
      <c r="AX15" s="276"/>
      <c r="AY15" s="276"/>
      <c r="AZ15" s="276"/>
      <c r="BA15" s="276"/>
      <c r="BB15" s="276"/>
      <c r="BC15" s="276"/>
      <c r="BD15" s="276"/>
      <c r="BE15" s="276"/>
      <c r="BF15" s="276"/>
      <c r="BG15" s="276"/>
      <c r="BH15" s="276"/>
      <c r="BI15" s="276"/>
      <c r="BJ15" s="276"/>
      <c r="BK15" s="276"/>
      <c r="BL15" s="276"/>
      <c r="BM15" s="276"/>
      <c r="BN15" s="276"/>
      <c r="BO15" s="276"/>
      <c r="BP15" s="276"/>
      <c r="BQ15" s="276"/>
      <c r="BR15" s="276"/>
      <c r="BS15" s="276"/>
      <c r="BT15" s="276"/>
      <c r="BU15" s="276"/>
      <c r="BV15" s="276"/>
      <c r="BW15" s="276"/>
      <c r="BX15" s="276"/>
      <c r="BY15" s="276"/>
      <c r="BZ15" s="276"/>
      <c r="CA15" s="276"/>
      <c r="CB15" s="276"/>
      <c r="CC15" s="276"/>
      <c r="CD15" s="276"/>
      <c r="CE15" s="276"/>
      <c r="CF15" s="276"/>
      <c r="CG15" s="276"/>
      <c r="CH15" s="276"/>
      <c r="CI15" s="276"/>
      <c r="CJ15" s="276"/>
      <c r="CK15" s="276"/>
      <c r="CL15" s="276"/>
      <c r="CM15" s="276"/>
      <c r="CN15" s="276"/>
      <c r="CO15" s="276"/>
      <c r="CP15" s="276"/>
      <c r="CQ15" s="276"/>
      <c r="CR15" s="276"/>
      <c r="CS15" s="276"/>
      <c r="CT15" s="276"/>
      <c r="CU15" s="276"/>
      <c r="CV15" s="276"/>
      <c r="CW15" s="276"/>
      <c r="CX15" s="276"/>
      <c r="CY15" s="276"/>
      <c r="CZ15" s="276"/>
      <c r="DA15" s="276"/>
      <c r="DB15" s="276"/>
      <c r="DC15" s="276"/>
      <c r="DD15" s="276"/>
      <c r="DE15" s="276"/>
      <c r="DF15" s="276"/>
      <c r="DG15" s="276"/>
      <c r="DH15" s="276"/>
      <c r="DI15" s="276"/>
      <c r="DJ15" s="276"/>
      <c r="DK15" s="276"/>
      <c r="DL15" s="276"/>
      <c r="DM15" s="276"/>
      <c r="DN15" s="276"/>
      <c r="DO15" s="276"/>
      <c r="DP15" s="276"/>
      <c r="DQ15" s="276"/>
      <c r="DR15" s="276"/>
      <c r="DS15" s="276"/>
      <c r="DT15" s="276"/>
      <c r="DU15" s="276"/>
      <c r="DV15" s="276"/>
      <c r="DW15" s="276"/>
      <c r="DX15" s="276"/>
      <c r="DY15" s="276"/>
      <c r="DZ15" s="276"/>
      <c r="EA15" s="276"/>
      <c r="EB15" s="276"/>
      <c r="EC15" s="276"/>
      <c r="ED15" s="276"/>
      <c r="EE15" s="276"/>
      <c r="EF15" s="276"/>
      <c r="EG15" s="276"/>
      <c r="EH15" s="276"/>
      <c r="EI15" s="276"/>
      <c r="EJ15" s="276"/>
      <c r="EK15" s="276"/>
      <c r="EL15" s="276"/>
      <c r="EM15" s="276"/>
      <c r="EN15" s="276"/>
      <c r="EO15" s="276"/>
      <c r="EP15" s="276"/>
      <c r="EQ15" s="276"/>
      <c r="ER15" s="276"/>
      <c r="ES15" s="276"/>
      <c r="ET15" s="276"/>
      <c r="EU15" s="276"/>
      <c r="EV15" s="276"/>
      <c r="EW15" s="276"/>
      <c r="EX15" s="276"/>
      <c r="EY15" s="276"/>
      <c r="EZ15" s="276"/>
      <c r="FA15" s="276"/>
      <c r="FB15" s="276"/>
      <c r="FC15" s="276"/>
      <c r="FD15" s="276"/>
      <c r="FE15" s="276"/>
      <c r="FF15" s="276"/>
      <c r="FG15" s="276"/>
      <c r="FH15" s="276"/>
      <c r="FI15" s="276"/>
      <c r="FJ15" s="276"/>
      <c r="FK15" s="276"/>
      <c r="FL15" s="276"/>
      <c r="FM15" s="276"/>
      <c r="FN15" s="276"/>
      <c r="FO15" s="276"/>
      <c r="FP15" s="276"/>
      <c r="FQ15" s="276"/>
      <c r="FR15" s="276"/>
      <c r="FS15" s="276"/>
      <c r="FT15" s="276"/>
      <c r="FU15" s="276"/>
      <c r="FV15" s="276"/>
      <c r="FW15" s="276"/>
      <c r="FX15" s="276"/>
      <c r="FY15" s="276"/>
      <c r="FZ15" s="276"/>
      <c r="GA15" s="276"/>
      <c r="GB15" s="276"/>
      <c r="GC15" s="276"/>
      <c r="GD15" s="276"/>
      <c r="GE15" s="276"/>
      <c r="GF15" s="276"/>
      <c r="GG15" s="276"/>
      <c r="GH15" s="276"/>
      <c r="GI15" s="276"/>
      <c r="GJ15" s="276"/>
      <c r="GK15" s="276"/>
      <c r="GL15" s="276"/>
      <c r="GM15" s="276"/>
      <c r="GN15" s="276"/>
      <c r="GO15" s="276"/>
      <c r="GP15" s="276"/>
      <c r="GQ15" s="276"/>
      <c r="GR15" s="276"/>
      <c r="GS15" s="276"/>
      <c r="GT15" s="276"/>
      <c r="GU15" s="276"/>
      <c r="GV15" s="276"/>
      <c r="GW15" s="276"/>
      <c r="GX15" s="276"/>
      <c r="GY15" s="276"/>
      <c r="GZ15" s="276"/>
      <c r="HA15" s="276"/>
      <c r="HB15" s="276"/>
      <c r="HC15" s="276"/>
      <c r="HD15" s="276"/>
      <c r="HE15" s="276"/>
      <c r="HF15" s="276"/>
      <c r="HG15" s="276"/>
      <c r="HH15" s="276"/>
      <c r="HI15" s="276"/>
      <c r="HJ15" s="276"/>
      <c r="HK15" s="276"/>
      <c r="HL15" s="276"/>
      <c r="HM15" s="276"/>
      <c r="HN15" s="276"/>
      <c r="HO15" s="276"/>
      <c r="HP15" s="276"/>
      <c r="HQ15" s="276"/>
      <c r="HR15" s="276"/>
      <c r="HS15" s="276"/>
      <c r="HT15" s="276"/>
      <c r="HU15" s="276"/>
      <c r="HV15" s="276"/>
      <c r="HW15" s="276"/>
      <c r="HX15" s="276"/>
      <c r="HY15" s="276"/>
      <c r="HZ15" s="276"/>
      <c r="IA15" s="276"/>
      <c r="IB15" s="276"/>
      <c r="IC15" s="276"/>
      <c r="ID15" s="276"/>
      <c r="IE15" s="276"/>
      <c r="IF15" s="276"/>
      <c r="IG15" s="276"/>
      <c r="IH15" s="276"/>
      <c r="II15" s="276"/>
      <c r="IJ15" s="276"/>
      <c r="IK15" s="276"/>
      <c r="IL15" s="276"/>
      <c r="IM15" s="276"/>
      <c r="IN15" s="276"/>
      <c r="IO15" s="276"/>
      <c r="IP15" s="276"/>
      <c r="IQ15" s="276"/>
      <c r="IR15" s="276"/>
      <c r="IS15" s="276"/>
      <c r="IT15" s="276"/>
      <c r="IU15" s="276"/>
      <c r="IV15" s="276"/>
    </row>
    <row r="16" spans="1:256" ht="13.5" customHeight="1" x14ac:dyDescent="0.25">
      <c r="A16" s="301"/>
      <c r="B16" s="956"/>
      <c r="C16" s="957"/>
      <c r="D16" s="956"/>
      <c r="E16" s="957"/>
      <c r="F16" s="956"/>
      <c r="G16" s="957"/>
      <c r="H16" s="956"/>
      <c r="I16" s="957"/>
      <c r="J16" s="956"/>
      <c r="K16" s="957"/>
      <c r="L16" s="956"/>
      <c r="M16" s="957"/>
      <c r="N16" s="956"/>
      <c r="O16" s="957"/>
      <c r="P16" s="956"/>
      <c r="Q16" s="957"/>
      <c r="R16" s="956"/>
      <c r="S16" s="958"/>
      <c r="T16" s="276"/>
      <c r="U16" s="276"/>
      <c r="V16" s="276"/>
      <c r="W16" s="276"/>
      <c r="X16" s="276"/>
      <c r="Y16" s="276"/>
      <c r="Z16" s="276"/>
      <c r="AA16" s="276"/>
      <c r="AB16" s="276"/>
      <c r="AC16" s="276"/>
      <c r="AD16" s="276"/>
      <c r="AE16" s="276"/>
      <c r="AF16" s="276"/>
      <c r="AG16" s="276"/>
      <c r="AH16" s="276"/>
      <c r="AI16" s="276"/>
      <c r="AJ16" s="276"/>
      <c r="AK16" s="276"/>
      <c r="AL16" s="276"/>
      <c r="AM16" s="276"/>
      <c r="AN16" s="276"/>
      <c r="AO16" s="276"/>
      <c r="AP16" s="276"/>
      <c r="AQ16" s="276"/>
      <c r="AR16" s="276"/>
      <c r="AS16" s="276"/>
      <c r="AT16" s="276"/>
      <c r="AU16" s="276"/>
      <c r="AV16" s="276"/>
      <c r="AW16" s="276"/>
      <c r="AX16" s="276"/>
      <c r="AY16" s="276"/>
      <c r="AZ16" s="276"/>
      <c r="BA16" s="276"/>
      <c r="BB16" s="276"/>
      <c r="BC16" s="276"/>
      <c r="BD16" s="276"/>
      <c r="BE16" s="276"/>
      <c r="BF16" s="276"/>
      <c r="BG16" s="276"/>
      <c r="BH16" s="276"/>
      <c r="BI16" s="276"/>
      <c r="BJ16" s="276"/>
      <c r="BK16" s="276"/>
      <c r="BL16" s="276"/>
      <c r="BM16" s="276"/>
      <c r="BN16" s="276"/>
      <c r="BO16" s="276"/>
      <c r="BP16" s="276"/>
      <c r="BQ16" s="276"/>
      <c r="BR16" s="276"/>
      <c r="BS16" s="276"/>
      <c r="BT16" s="276"/>
      <c r="BU16" s="276"/>
      <c r="BV16" s="276"/>
      <c r="BW16" s="276"/>
      <c r="BX16" s="276"/>
      <c r="BY16" s="276"/>
      <c r="BZ16" s="276"/>
      <c r="CA16" s="276"/>
      <c r="CB16" s="276"/>
      <c r="CC16" s="276"/>
      <c r="CD16" s="276"/>
      <c r="CE16" s="276"/>
      <c r="CF16" s="276"/>
      <c r="CG16" s="276"/>
      <c r="CH16" s="276"/>
      <c r="CI16" s="276"/>
      <c r="CJ16" s="276"/>
      <c r="CK16" s="276"/>
      <c r="CL16" s="276"/>
      <c r="CM16" s="276"/>
      <c r="CN16" s="276"/>
      <c r="CO16" s="276"/>
      <c r="CP16" s="276"/>
      <c r="CQ16" s="276"/>
      <c r="CR16" s="276"/>
      <c r="CS16" s="276"/>
      <c r="CT16" s="276"/>
      <c r="CU16" s="276"/>
      <c r="CV16" s="276"/>
      <c r="CW16" s="276"/>
      <c r="CX16" s="276"/>
      <c r="CY16" s="276"/>
      <c r="CZ16" s="276"/>
      <c r="DA16" s="276"/>
      <c r="DB16" s="276"/>
      <c r="DC16" s="276"/>
      <c r="DD16" s="276"/>
      <c r="DE16" s="276"/>
      <c r="DF16" s="276"/>
      <c r="DG16" s="276"/>
      <c r="DH16" s="276"/>
      <c r="DI16" s="276"/>
      <c r="DJ16" s="276"/>
      <c r="DK16" s="276"/>
      <c r="DL16" s="276"/>
      <c r="DM16" s="276"/>
      <c r="DN16" s="276"/>
      <c r="DO16" s="276"/>
      <c r="DP16" s="276"/>
      <c r="DQ16" s="276"/>
      <c r="DR16" s="276"/>
      <c r="DS16" s="276"/>
      <c r="DT16" s="276"/>
      <c r="DU16" s="276"/>
      <c r="DV16" s="276"/>
      <c r="DW16" s="276"/>
      <c r="DX16" s="276"/>
      <c r="DY16" s="276"/>
      <c r="DZ16" s="276"/>
      <c r="EA16" s="276"/>
      <c r="EB16" s="276"/>
      <c r="EC16" s="276"/>
      <c r="ED16" s="276"/>
      <c r="EE16" s="276"/>
      <c r="EF16" s="276"/>
      <c r="EG16" s="276"/>
      <c r="EH16" s="276"/>
      <c r="EI16" s="276"/>
      <c r="EJ16" s="276"/>
      <c r="EK16" s="276"/>
      <c r="EL16" s="276"/>
      <c r="EM16" s="276"/>
      <c r="EN16" s="276"/>
      <c r="EO16" s="276"/>
      <c r="EP16" s="276"/>
      <c r="EQ16" s="276"/>
      <c r="ER16" s="276"/>
      <c r="ES16" s="276"/>
      <c r="ET16" s="276"/>
      <c r="EU16" s="276"/>
      <c r="EV16" s="276"/>
      <c r="EW16" s="276"/>
      <c r="EX16" s="276"/>
      <c r="EY16" s="276"/>
      <c r="EZ16" s="276"/>
      <c r="FA16" s="276"/>
      <c r="FB16" s="276"/>
      <c r="FC16" s="276"/>
      <c r="FD16" s="276"/>
      <c r="FE16" s="276"/>
      <c r="FF16" s="276"/>
      <c r="FG16" s="276"/>
      <c r="FH16" s="276"/>
      <c r="FI16" s="276"/>
      <c r="FJ16" s="276"/>
      <c r="FK16" s="276"/>
      <c r="FL16" s="276"/>
      <c r="FM16" s="276"/>
      <c r="FN16" s="276"/>
      <c r="FO16" s="276"/>
      <c r="FP16" s="276"/>
      <c r="FQ16" s="276"/>
      <c r="FR16" s="276"/>
      <c r="FS16" s="276"/>
      <c r="FT16" s="276"/>
      <c r="FU16" s="276"/>
      <c r="FV16" s="276"/>
      <c r="FW16" s="276"/>
      <c r="FX16" s="276"/>
      <c r="FY16" s="276"/>
      <c r="FZ16" s="276"/>
      <c r="GA16" s="276"/>
      <c r="GB16" s="276"/>
      <c r="GC16" s="276"/>
      <c r="GD16" s="276"/>
      <c r="GE16" s="276"/>
      <c r="GF16" s="276"/>
      <c r="GG16" s="276"/>
      <c r="GH16" s="276"/>
      <c r="GI16" s="276"/>
      <c r="GJ16" s="276"/>
      <c r="GK16" s="276"/>
      <c r="GL16" s="276"/>
      <c r="GM16" s="276"/>
      <c r="GN16" s="276"/>
      <c r="GO16" s="276"/>
      <c r="GP16" s="276"/>
      <c r="GQ16" s="276"/>
      <c r="GR16" s="276"/>
      <c r="GS16" s="276"/>
      <c r="GT16" s="276"/>
      <c r="GU16" s="276"/>
      <c r="GV16" s="276"/>
      <c r="GW16" s="276"/>
      <c r="GX16" s="276"/>
      <c r="GY16" s="276"/>
      <c r="GZ16" s="276"/>
      <c r="HA16" s="276"/>
      <c r="HB16" s="276"/>
      <c r="HC16" s="276"/>
      <c r="HD16" s="276"/>
      <c r="HE16" s="276"/>
      <c r="HF16" s="276"/>
      <c r="HG16" s="276"/>
      <c r="HH16" s="276"/>
      <c r="HI16" s="276"/>
      <c r="HJ16" s="276"/>
      <c r="HK16" s="276"/>
      <c r="HL16" s="276"/>
      <c r="HM16" s="276"/>
      <c r="HN16" s="276"/>
      <c r="HO16" s="276"/>
      <c r="HP16" s="276"/>
      <c r="HQ16" s="276"/>
      <c r="HR16" s="276"/>
      <c r="HS16" s="276"/>
      <c r="HT16" s="276"/>
      <c r="HU16" s="276"/>
      <c r="HV16" s="276"/>
      <c r="HW16" s="276"/>
      <c r="HX16" s="276"/>
      <c r="HY16" s="276"/>
      <c r="HZ16" s="276"/>
      <c r="IA16" s="276"/>
      <c r="IB16" s="276"/>
      <c r="IC16" s="276"/>
      <c r="ID16" s="276"/>
      <c r="IE16" s="276"/>
      <c r="IF16" s="276"/>
      <c r="IG16" s="276"/>
      <c r="IH16" s="276"/>
      <c r="II16" s="276"/>
      <c r="IJ16" s="276"/>
      <c r="IK16" s="276"/>
      <c r="IL16" s="276"/>
      <c r="IM16" s="276"/>
      <c r="IN16" s="276"/>
      <c r="IO16" s="276"/>
      <c r="IP16" s="276"/>
      <c r="IQ16" s="276"/>
      <c r="IR16" s="276"/>
      <c r="IS16" s="276"/>
      <c r="IT16" s="276"/>
      <c r="IU16" s="276"/>
      <c r="IV16" s="276"/>
    </row>
    <row r="17" spans="1:256" x14ac:dyDescent="0.25">
      <c r="A17" s="302"/>
      <c r="C17" s="304"/>
      <c r="E17" s="304"/>
      <c r="G17" s="305"/>
      <c r="H17" s="305"/>
      <c r="I17" s="305"/>
      <c r="J17" s="304"/>
      <c r="K17" s="45"/>
      <c r="M17" s="303"/>
      <c r="O17" s="303"/>
      <c r="Q17" s="303"/>
      <c r="S17" s="303"/>
      <c r="T17" s="276"/>
      <c r="U17" s="276"/>
      <c r="V17" s="276"/>
      <c r="W17" s="276"/>
      <c r="X17" s="276"/>
      <c r="Y17" s="276"/>
      <c r="Z17" s="276"/>
      <c r="AA17" s="276"/>
      <c r="AB17" s="276"/>
      <c r="AC17" s="276"/>
      <c r="AD17" s="276"/>
      <c r="AE17" s="276"/>
      <c r="AF17" s="276"/>
      <c r="AG17" s="276"/>
      <c r="AH17" s="276"/>
      <c r="AI17" s="276"/>
      <c r="AJ17" s="276"/>
      <c r="AK17" s="276"/>
      <c r="AL17" s="276"/>
      <c r="AM17" s="276"/>
      <c r="AN17" s="276"/>
      <c r="AO17" s="276"/>
      <c r="AP17" s="276"/>
      <c r="AQ17" s="276"/>
      <c r="AR17" s="276"/>
      <c r="AS17" s="276"/>
      <c r="AT17" s="276"/>
      <c r="AU17" s="276"/>
      <c r="AV17" s="276"/>
      <c r="AW17" s="276"/>
      <c r="AX17" s="276"/>
      <c r="AY17" s="276"/>
      <c r="AZ17" s="276"/>
      <c r="BA17" s="276"/>
      <c r="BB17" s="276"/>
      <c r="BC17" s="276"/>
      <c r="BD17" s="276"/>
      <c r="BE17" s="276"/>
      <c r="BF17" s="276"/>
      <c r="BG17" s="276"/>
      <c r="BH17" s="276"/>
      <c r="BI17" s="276"/>
      <c r="BJ17" s="276"/>
      <c r="BK17" s="276"/>
      <c r="BL17" s="276"/>
      <c r="BM17" s="276"/>
      <c r="BN17" s="276"/>
      <c r="BO17" s="276"/>
      <c r="BP17" s="276"/>
      <c r="BQ17" s="276"/>
      <c r="BR17" s="276"/>
      <c r="BS17" s="276"/>
      <c r="BT17" s="276"/>
      <c r="BU17" s="276"/>
      <c r="BV17" s="276"/>
      <c r="BW17" s="276"/>
      <c r="BX17" s="276"/>
      <c r="BY17" s="276"/>
      <c r="BZ17" s="276"/>
      <c r="CA17" s="276"/>
      <c r="CB17" s="276"/>
      <c r="CC17" s="276"/>
      <c r="CD17" s="276"/>
      <c r="CE17" s="276"/>
      <c r="CF17" s="276"/>
      <c r="CG17" s="276"/>
      <c r="CH17" s="276"/>
      <c r="CI17" s="276"/>
      <c r="CJ17" s="276"/>
      <c r="CK17" s="276"/>
      <c r="CL17" s="276"/>
      <c r="CM17" s="276"/>
      <c r="CN17" s="276"/>
      <c r="CO17" s="276"/>
      <c r="CP17" s="276"/>
      <c r="CQ17" s="276"/>
      <c r="CR17" s="276"/>
      <c r="CS17" s="276"/>
      <c r="CT17" s="276"/>
      <c r="CU17" s="276"/>
      <c r="CV17" s="276"/>
      <c r="CW17" s="276"/>
      <c r="CX17" s="276"/>
      <c r="CY17" s="276"/>
      <c r="CZ17" s="276"/>
      <c r="DA17" s="276"/>
      <c r="DB17" s="276"/>
      <c r="DC17" s="276"/>
      <c r="DD17" s="276"/>
      <c r="DE17" s="276"/>
      <c r="DF17" s="276"/>
      <c r="DG17" s="276"/>
      <c r="DH17" s="276"/>
      <c r="DI17" s="276"/>
      <c r="DJ17" s="276"/>
      <c r="DK17" s="276"/>
      <c r="DL17" s="276"/>
      <c r="DM17" s="276"/>
      <c r="DN17" s="276"/>
      <c r="DO17" s="276"/>
      <c r="DP17" s="276"/>
      <c r="DQ17" s="276"/>
      <c r="DR17" s="276"/>
      <c r="DS17" s="276"/>
      <c r="DT17" s="276"/>
      <c r="DU17" s="276"/>
      <c r="DV17" s="276"/>
      <c r="DW17" s="276"/>
      <c r="DX17" s="276"/>
      <c r="DY17" s="276"/>
      <c r="DZ17" s="276"/>
      <c r="EA17" s="276"/>
      <c r="EB17" s="276"/>
      <c r="EC17" s="276"/>
      <c r="ED17" s="276"/>
      <c r="EE17" s="276"/>
      <c r="EF17" s="276"/>
      <c r="EG17" s="276"/>
      <c r="EH17" s="276"/>
      <c r="EI17" s="276"/>
      <c r="EJ17" s="276"/>
      <c r="EK17" s="276"/>
      <c r="EL17" s="276"/>
      <c r="EM17" s="276"/>
      <c r="EN17" s="276"/>
      <c r="EO17" s="276"/>
      <c r="EP17" s="276"/>
      <c r="EQ17" s="276"/>
      <c r="ER17" s="276"/>
      <c r="ES17" s="276"/>
      <c r="ET17" s="276"/>
      <c r="EU17" s="276"/>
      <c r="EV17" s="276"/>
      <c r="EW17" s="276"/>
      <c r="EX17" s="276"/>
      <c r="EY17" s="276"/>
      <c r="EZ17" s="276"/>
      <c r="FA17" s="276"/>
      <c r="FB17" s="276"/>
      <c r="FC17" s="276"/>
      <c r="FD17" s="276"/>
      <c r="FE17" s="276"/>
      <c r="FF17" s="276"/>
      <c r="FG17" s="276"/>
      <c r="FH17" s="276"/>
      <c r="FI17" s="276"/>
      <c r="FJ17" s="276"/>
      <c r="FK17" s="276"/>
      <c r="FL17" s="276"/>
      <c r="FM17" s="276"/>
      <c r="FN17" s="276"/>
      <c r="FO17" s="276"/>
      <c r="FP17" s="276"/>
      <c r="FQ17" s="276"/>
      <c r="FR17" s="276"/>
      <c r="FS17" s="276"/>
      <c r="FT17" s="276"/>
      <c r="FU17" s="276"/>
      <c r="FV17" s="276"/>
      <c r="FW17" s="276"/>
      <c r="FX17" s="276"/>
      <c r="FY17" s="276"/>
      <c r="FZ17" s="276"/>
      <c r="GA17" s="276"/>
      <c r="GB17" s="276"/>
      <c r="GC17" s="276"/>
      <c r="GD17" s="276"/>
      <c r="GE17" s="276"/>
      <c r="GF17" s="276"/>
      <c r="GG17" s="276"/>
      <c r="GH17" s="276"/>
      <c r="GI17" s="276"/>
      <c r="GJ17" s="276"/>
      <c r="GK17" s="276"/>
      <c r="GL17" s="276"/>
      <c r="GM17" s="276"/>
      <c r="GN17" s="276"/>
      <c r="GO17" s="276"/>
      <c r="GP17" s="276"/>
      <c r="GQ17" s="276"/>
      <c r="GR17" s="276"/>
      <c r="GS17" s="276"/>
      <c r="GT17" s="276"/>
      <c r="GU17" s="276"/>
      <c r="GV17" s="276"/>
      <c r="GW17" s="276"/>
      <c r="GX17" s="276"/>
      <c r="GY17" s="276"/>
      <c r="GZ17" s="276"/>
      <c r="HA17" s="276"/>
      <c r="HB17" s="276"/>
      <c r="HC17" s="276"/>
      <c r="HD17" s="276"/>
      <c r="HE17" s="276"/>
      <c r="HF17" s="276"/>
      <c r="HG17" s="276"/>
      <c r="HH17" s="276"/>
      <c r="HI17" s="276"/>
      <c r="HJ17" s="276"/>
      <c r="HK17" s="276"/>
      <c r="HL17" s="276"/>
      <c r="HM17" s="276"/>
      <c r="HN17" s="276"/>
      <c r="HO17" s="276"/>
      <c r="HP17" s="276"/>
      <c r="HQ17" s="276"/>
      <c r="HR17" s="276"/>
      <c r="HS17" s="276"/>
      <c r="HT17" s="276"/>
      <c r="HU17" s="276"/>
      <c r="HV17" s="276"/>
      <c r="HW17" s="276"/>
      <c r="HX17" s="276"/>
      <c r="HY17" s="276"/>
      <c r="HZ17" s="276"/>
      <c r="IA17" s="276"/>
      <c r="IB17" s="276"/>
      <c r="IC17" s="276"/>
      <c r="ID17" s="276"/>
      <c r="IE17" s="276"/>
      <c r="IF17" s="276"/>
      <c r="IG17" s="276"/>
      <c r="IH17" s="276"/>
      <c r="II17" s="276"/>
      <c r="IJ17" s="276"/>
      <c r="IK17" s="276"/>
      <c r="IL17" s="276"/>
      <c r="IM17" s="276"/>
      <c r="IN17" s="276"/>
      <c r="IO17" s="276"/>
      <c r="IP17" s="276"/>
      <c r="IQ17" s="276"/>
      <c r="IR17" s="276"/>
      <c r="IS17" s="276"/>
      <c r="IT17" s="276"/>
      <c r="IU17" s="276"/>
      <c r="IV17" s="276"/>
    </row>
    <row r="18" spans="1:256" x14ac:dyDescent="0.25">
      <c r="A18" s="276"/>
      <c r="B18" s="276"/>
      <c r="C18" s="276"/>
      <c r="D18" s="276"/>
      <c r="E18" s="276"/>
      <c r="F18" s="276"/>
      <c r="G18" s="276"/>
      <c r="H18" s="276"/>
      <c r="I18" s="276"/>
      <c r="J18" s="276"/>
      <c r="K18" s="276"/>
      <c r="L18" s="276"/>
      <c r="M18" s="276"/>
      <c r="N18" s="276"/>
      <c r="O18" s="276"/>
      <c r="P18" s="276"/>
      <c r="Q18" s="276"/>
      <c r="R18" s="276"/>
      <c r="S18" s="276"/>
      <c r="T18" s="276"/>
      <c r="U18" s="276"/>
      <c r="V18" s="276"/>
      <c r="W18" s="276"/>
      <c r="X18" s="276"/>
      <c r="Y18" s="276"/>
      <c r="Z18" s="276"/>
      <c r="AA18" s="276"/>
      <c r="AB18" s="276"/>
      <c r="AC18" s="276"/>
      <c r="AD18" s="276"/>
      <c r="AE18" s="276"/>
      <c r="AF18" s="276"/>
      <c r="AG18" s="276"/>
      <c r="AH18" s="276"/>
      <c r="AI18" s="276"/>
      <c r="AJ18" s="276"/>
      <c r="AK18" s="276"/>
      <c r="AL18" s="276"/>
      <c r="AM18" s="276"/>
      <c r="AN18" s="276"/>
      <c r="AO18" s="276"/>
      <c r="AP18" s="276"/>
      <c r="AQ18" s="276"/>
      <c r="AR18" s="276"/>
      <c r="AS18" s="276"/>
      <c r="AT18" s="276"/>
      <c r="AU18" s="276"/>
      <c r="AV18" s="276"/>
      <c r="AW18" s="276"/>
      <c r="AX18" s="276"/>
      <c r="AY18" s="276"/>
      <c r="AZ18" s="276"/>
      <c r="BA18" s="276"/>
      <c r="BB18" s="276"/>
      <c r="BC18" s="276"/>
      <c r="BD18" s="276"/>
      <c r="BE18" s="276"/>
      <c r="BF18" s="276"/>
      <c r="BG18" s="276"/>
      <c r="BH18" s="276"/>
      <c r="BI18" s="276"/>
      <c r="BJ18" s="276"/>
      <c r="BK18" s="276"/>
      <c r="BL18" s="276"/>
      <c r="BM18" s="276"/>
      <c r="BN18" s="276"/>
      <c r="BO18" s="276"/>
      <c r="BP18" s="276"/>
      <c r="BQ18" s="276"/>
      <c r="BR18" s="276"/>
      <c r="BS18" s="276"/>
      <c r="BT18" s="276"/>
      <c r="BU18" s="276"/>
      <c r="BV18" s="276"/>
      <c r="BW18" s="276"/>
      <c r="BX18" s="276"/>
      <c r="BY18" s="276"/>
      <c r="BZ18" s="276"/>
      <c r="CA18" s="276"/>
      <c r="CB18" s="276"/>
      <c r="CC18" s="276"/>
      <c r="CD18" s="276"/>
      <c r="CE18" s="276"/>
      <c r="CF18" s="276"/>
      <c r="CG18" s="276"/>
      <c r="CH18" s="276"/>
      <c r="CI18" s="276"/>
      <c r="CJ18" s="276"/>
      <c r="CK18" s="276"/>
      <c r="CL18" s="276"/>
      <c r="CM18" s="276"/>
      <c r="CN18" s="276"/>
      <c r="CO18" s="276"/>
      <c r="CP18" s="276"/>
      <c r="CQ18" s="276"/>
      <c r="CR18" s="276"/>
      <c r="CS18" s="276"/>
      <c r="CT18" s="276"/>
      <c r="CU18" s="276"/>
      <c r="CV18" s="276"/>
      <c r="CW18" s="276"/>
      <c r="CX18" s="276"/>
      <c r="CY18" s="276"/>
      <c r="CZ18" s="276"/>
      <c r="DA18" s="276"/>
      <c r="DB18" s="276"/>
      <c r="DC18" s="276"/>
      <c r="DD18" s="276"/>
      <c r="DE18" s="276"/>
      <c r="DF18" s="276"/>
      <c r="DG18" s="276"/>
      <c r="DH18" s="276"/>
      <c r="DI18" s="276"/>
      <c r="DJ18" s="276"/>
      <c r="DK18" s="276"/>
      <c r="DL18" s="276"/>
      <c r="DM18" s="276"/>
      <c r="DN18" s="276"/>
      <c r="DO18" s="276"/>
      <c r="DP18" s="276"/>
      <c r="DQ18" s="276"/>
      <c r="DR18" s="276"/>
      <c r="DS18" s="276"/>
      <c r="DT18" s="276"/>
      <c r="DU18" s="276"/>
      <c r="DV18" s="276"/>
      <c r="DW18" s="276"/>
      <c r="DX18" s="276"/>
      <c r="DY18" s="276"/>
      <c r="DZ18" s="276"/>
      <c r="EA18" s="276"/>
      <c r="EB18" s="276"/>
      <c r="EC18" s="276"/>
      <c r="ED18" s="276"/>
      <c r="EE18" s="276"/>
      <c r="EF18" s="276"/>
      <c r="EG18" s="276"/>
      <c r="EH18" s="276"/>
      <c r="EI18" s="276"/>
      <c r="EJ18" s="276"/>
      <c r="EK18" s="276"/>
      <c r="EL18" s="276"/>
      <c r="EM18" s="276"/>
      <c r="EN18" s="276"/>
      <c r="EO18" s="276"/>
      <c r="EP18" s="276"/>
      <c r="EQ18" s="276"/>
      <c r="ER18" s="276"/>
      <c r="ES18" s="276"/>
      <c r="ET18" s="276"/>
      <c r="EU18" s="276"/>
      <c r="EV18" s="276"/>
      <c r="EW18" s="276"/>
      <c r="EX18" s="276"/>
      <c r="EY18" s="276"/>
      <c r="EZ18" s="276"/>
      <c r="FA18" s="276"/>
      <c r="FB18" s="276"/>
      <c r="FC18" s="276"/>
      <c r="FD18" s="276"/>
      <c r="FE18" s="276"/>
      <c r="FF18" s="276"/>
      <c r="FG18" s="276"/>
      <c r="FH18" s="276"/>
      <c r="FI18" s="276"/>
      <c r="FJ18" s="276"/>
      <c r="FK18" s="276"/>
      <c r="FL18" s="276"/>
      <c r="FM18" s="276"/>
      <c r="FN18" s="276"/>
      <c r="FO18" s="276"/>
      <c r="FP18" s="276"/>
      <c r="FQ18" s="276"/>
      <c r="FR18" s="276"/>
      <c r="FS18" s="276"/>
      <c r="FT18" s="276"/>
      <c r="FU18" s="276"/>
      <c r="FV18" s="276"/>
      <c r="FW18" s="276"/>
      <c r="FX18" s="276"/>
      <c r="FY18" s="276"/>
      <c r="FZ18" s="276"/>
      <c r="GA18" s="276"/>
      <c r="GB18" s="276"/>
      <c r="GC18" s="276"/>
      <c r="GD18" s="276"/>
      <c r="GE18" s="276"/>
      <c r="GF18" s="276"/>
      <c r="GG18" s="276"/>
      <c r="GH18" s="276"/>
      <c r="GI18" s="276"/>
      <c r="GJ18" s="276"/>
      <c r="GK18" s="276"/>
      <c r="GL18" s="276"/>
      <c r="GM18" s="276"/>
      <c r="GN18" s="276"/>
      <c r="GO18" s="276"/>
      <c r="GP18" s="276"/>
      <c r="GQ18" s="276"/>
      <c r="GR18" s="276"/>
      <c r="GS18" s="276"/>
      <c r="GT18" s="276"/>
      <c r="GU18" s="276"/>
      <c r="GV18" s="276"/>
      <c r="GW18" s="276"/>
      <c r="GX18" s="276"/>
      <c r="GY18" s="276"/>
      <c r="GZ18" s="276"/>
      <c r="HA18" s="276"/>
      <c r="HB18" s="276"/>
      <c r="HC18" s="276"/>
      <c r="HD18" s="276"/>
      <c r="HE18" s="276"/>
      <c r="HF18" s="276"/>
      <c r="HG18" s="276"/>
      <c r="HH18" s="276"/>
      <c r="HI18" s="276"/>
      <c r="HJ18" s="276"/>
      <c r="HK18" s="276"/>
      <c r="HL18" s="276"/>
      <c r="HM18" s="276"/>
      <c r="HN18" s="276"/>
      <c r="HO18" s="276"/>
      <c r="HP18" s="276"/>
      <c r="HQ18" s="276"/>
      <c r="HR18" s="276"/>
      <c r="HS18" s="276"/>
      <c r="HT18" s="276"/>
      <c r="HU18" s="276"/>
      <c r="HV18" s="276"/>
      <c r="HW18" s="276"/>
      <c r="HX18" s="276"/>
      <c r="HY18" s="276"/>
      <c r="HZ18" s="276"/>
      <c r="IA18" s="276"/>
      <c r="IB18" s="276"/>
      <c r="IC18" s="276"/>
      <c r="ID18" s="276"/>
      <c r="IE18" s="276"/>
      <c r="IF18" s="276"/>
      <c r="IG18" s="276"/>
      <c r="IH18" s="276"/>
      <c r="II18" s="276"/>
      <c r="IJ18" s="276"/>
      <c r="IK18" s="276"/>
      <c r="IL18" s="276"/>
      <c r="IM18" s="276"/>
      <c r="IN18" s="276"/>
      <c r="IO18" s="276"/>
      <c r="IP18" s="276"/>
      <c r="IQ18" s="276"/>
      <c r="IR18" s="276"/>
      <c r="IS18" s="276"/>
      <c r="IT18" s="276"/>
      <c r="IU18" s="276"/>
      <c r="IV18" s="276"/>
    </row>
    <row r="19" spans="1:256" ht="21.6" x14ac:dyDescent="0.4">
      <c r="A19" s="275" t="s">
        <v>1296</v>
      </c>
      <c r="B19" s="275"/>
      <c r="C19" s="275"/>
      <c r="D19" s="275"/>
      <c r="E19" s="275"/>
      <c r="F19" s="275"/>
      <c r="G19" s="275"/>
      <c r="H19" s="275"/>
      <c r="I19" s="275"/>
      <c r="J19" s="275"/>
      <c r="K19" s="275"/>
      <c r="L19" s="275"/>
      <c r="M19" s="275"/>
      <c r="N19" s="275"/>
      <c r="O19" s="275"/>
      <c r="P19" s="275"/>
      <c r="Q19" s="275"/>
      <c r="R19" s="275"/>
      <c r="S19" s="275"/>
      <c r="T19" s="276"/>
      <c r="U19" s="276"/>
      <c r="V19" s="276"/>
      <c r="W19" s="276"/>
      <c r="X19" s="276"/>
      <c r="Y19" s="276"/>
      <c r="Z19" s="276"/>
      <c r="AA19" s="276"/>
      <c r="AB19" s="276"/>
      <c r="AC19" s="276"/>
      <c r="AD19" s="276"/>
      <c r="AE19" s="276"/>
      <c r="AF19" s="276"/>
      <c r="AG19" s="276"/>
      <c r="AH19" s="276"/>
      <c r="AI19" s="276"/>
      <c r="AJ19" s="276"/>
      <c r="AK19" s="276"/>
      <c r="AL19" s="276"/>
      <c r="AM19" s="276"/>
      <c r="AN19" s="276"/>
      <c r="AO19" s="276"/>
      <c r="AP19" s="276"/>
      <c r="AQ19" s="276"/>
      <c r="AR19" s="276"/>
      <c r="AS19" s="276"/>
      <c r="AT19" s="276"/>
      <c r="AU19" s="276"/>
      <c r="AV19" s="276"/>
      <c r="AW19" s="276"/>
      <c r="AX19" s="276"/>
      <c r="AY19" s="276"/>
      <c r="AZ19" s="276"/>
      <c r="BA19" s="276"/>
      <c r="BB19" s="276"/>
      <c r="BC19" s="276"/>
      <c r="BD19" s="276"/>
      <c r="BE19" s="276"/>
      <c r="BF19" s="276"/>
      <c r="BG19" s="276"/>
      <c r="BH19" s="276"/>
      <c r="BI19" s="276"/>
      <c r="BJ19" s="276"/>
      <c r="BK19" s="276"/>
      <c r="BL19" s="276"/>
      <c r="BM19" s="276"/>
      <c r="BN19" s="276"/>
      <c r="BO19" s="276"/>
      <c r="BP19" s="276"/>
      <c r="BQ19" s="276"/>
      <c r="BR19" s="276"/>
      <c r="BS19" s="276"/>
      <c r="BT19" s="276"/>
      <c r="BU19" s="276"/>
      <c r="BV19" s="276"/>
      <c r="BW19" s="276"/>
      <c r="BX19" s="276"/>
      <c r="BY19" s="276"/>
      <c r="BZ19" s="276"/>
      <c r="CA19" s="276"/>
      <c r="CB19" s="276"/>
      <c r="CC19" s="276"/>
      <c r="CD19" s="276"/>
      <c r="CE19" s="276"/>
      <c r="CF19" s="276"/>
      <c r="CG19" s="276"/>
      <c r="CH19" s="276"/>
      <c r="CI19" s="276"/>
      <c r="CJ19" s="276"/>
      <c r="CK19" s="276"/>
      <c r="CL19" s="276"/>
      <c r="CM19" s="276"/>
      <c r="CN19" s="276"/>
      <c r="CO19" s="276"/>
      <c r="CP19" s="276"/>
      <c r="CQ19" s="276"/>
      <c r="CR19" s="276"/>
      <c r="CS19" s="276"/>
      <c r="CT19" s="276"/>
      <c r="CU19" s="276"/>
      <c r="CV19" s="276"/>
      <c r="CW19" s="276"/>
      <c r="CX19" s="276"/>
      <c r="CY19" s="276"/>
      <c r="CZ19" s="276"/>
      <c r="DA19" s="276"/>
      <c r="DB19" s="276"/>
      <c r="DC19" s="276"/>
      <c r="DD19" s="276"/>
      <c r="DE19" s="276"/>
      <c r="DF19" s="276"/>
      <c r="DG19" s="276"/>
      <c r="DH19" s="276"/>
      <c r="DI19" s="276"/>
      <c r="DJ19" s="276"/>
      <c r="DK19" s="276"/>
      <c r="DL19" s="276"/>
      <c r="DM19" s="276"/>
      <c r="DN19" s="276"/>
      <c r="DO19" s="276"/>
      <c r="DP19" s="276"/>
      <c r="DQ19" s="276"/>
      <c r="DR19" s="276"/>
      <c r="DS19" s="276"/>
      <c r="DT19" s="276"/>
      <c r="DU19" s="276"/>
      <c r="DV19" s="276"/>
      <c r="DW19" s="276"/>
      <c r="DX19" s="276"/>
      <c r="DY19" s="276"/>
      <c r="DZ19" s="276"/>
      <c r="EA19" s="276"/>
      <c r="EB19" s="276"/>
      <c r="EC19" s="276"/>
      <c r="ED19" s="276"/>
      <c r="EE19" s="276"/>
      <c r="EF19" s="276"/>
      <c r="EG19" s="276"/>
      <c r="EH19" s="276"/>
      <c r="EI19" s="276"/>
      <c r="EJ19" s="276"/>
      <c r="EK19" s="276"/>
      <c r="EL19" s="276"/>
      <c r="EM19" s="276"/>
      <c r="EN19" s="276"/>
      <c r="EO19" s="276"/>
      <c r="EP19" s="276"/>
      <c r="EQ19" s="276"/>
      <c r="ER19" s="276"/>
      <c r="ES19" s="276"/>
      <c r="ET19" s="276"/>
      <c r="EU19" s="276"/>
      <c r="EV19" s="276"/>
      <c r="EW19" s="276"/>
      <c r="EX19" s="276"/>
      <c r="EY19" s="276"/>
      <c r="EZ19" s="276"/>
      <c r="FA19" s="276"/>
      <c r="FB19" s="276"/>
      <c r="FC19" s="276"/>
      <c r="FD19" s="276"/>
      <c r="FE19" s="276"/>
      <c r="FF19" s="276"/>
      <c r="FG19" s="276"/>
      <c r="FH19" s="276"/>
      <c r="FI19" s="276"/>
      <c r="FJ19" s="276"/>
      <c r="FK19" s="276"/>
      <c r="FL19" s="276"/>
      <c r="FM19" s="276"/>
      <c r="FN19" s="276"/>
      <c r="FO19" s="276"/>
      <c r="FP19" s="276"/>
      <c r="FQ19" s="276"/>
      <c r="FR19" s="276"/>
      <c r="FS19" s="276"/>
      <c r="FT19" s="276"/>
      <c r="FU19" s="276"/>
      <c r="FV19" s="276"/>
      <c r="FW19" s="276"/>
      <c r="FX19" s="276"/>
      <c r="FY19" s="276"/>
      <c r="FZ19" s="276"/>
      <c r="GA19" s="276"/>
      <c r="GB19" s="276"/>
      <c r="GC19" s="276"/>
      <c r="GD19" s="276"/>
      <c r="GE19" s="276"/>
      <c r="GF19" s="276"/>
      <c r="GG19" s="276"/>
      <c r="GH19" s="276"/>
      <c r="GI19" s="276"/>
      <c r="GJ19" s="276"/>
      <c r="GK19" s="276"/>
      <c r="GL19" s="276"/>
      <c r="GM19" s="276"/>
      <c r="GN19" s="276"/>
      <c r="GO19" s="276"/>
      <c r="GP19" s="276"/>
      <c r="GQ19" s="276"/>
      <c r="GR19" s="276"/>
      <c r="GS19" s="276"/>
      <c r="GT19" s="276"/>
      <c r="GU19" s="276"/>
      <c r="GV19" s="276"/>
      <c r="GW19" s="276"/>
      <c r="GX19" s="276"/>
      <c r="GY19" s="276"/>
      <c r="GZ19" s="276"/>
      <c r="HA19" s="276"/>
      <c r="HB19" s="276"/>
      <c r="HC19" s="276"/>
      <c r="HD19" s="276"/>
      <c r="HE19" s="276"/>
      <c r="HF19" s="276"/>
      <c r="HG19" s="276"/>
      <c r="HH19" s="276"/>
      <c r="HI19" s="276"/>
      <c r="HJ19" s="276"/>
      <c r="HK19" s="276"/>
      <c r="HL19" s="276"/>
      <c r="HM19" s="276"/>
      <c r="HN19" s="276"/>
      <c r="HO19" s="276"/>
      <c r="HP19" s="276"/>
      <c r="HQ19" s="276"/>
      <c r="HR19" s="276"/>
      <c r="HS19" s="276"/>
      <c r="HT19" s="276"/>
      <c r="HU19" s="276"/>
      <c r="HV19" s="276"/>
      <c r="HW19" s="276"/>
      <c r="HX19" s="276"/>
      <c r="HY19" s="276"/>
      <c r="HZ19" s="276"/>
      <c r="IA19" s="276"/>
      <c r="IB19" s="276"/>
      <c r="IC19" s="276"/>
      <c r="ID19" s="276"/>
      <c r="IE19" s="276"/>
      <c r="IF19" s="276"/>
      <c r="IG19" s="276"/>
      <c r="IH19" s="276"/>
      <c r="II19" s="276"/>
      <c r="IJ19" s="276"/>
      <c r="IK19" s="276"/>
      <c r="IL19" s="276"/>
      <c r="IM19" s="276"/>
      <c r="IN19" s="276"/>
      <c r="IO19" s="276"/>
      <c r="IP19" s="276"/>
      <c r="IQ19" s="276"/>
      <c r="IR19" s="276"/>
      <c r="IS19" s="276"/>
      <c r="IT19" s="276"/>
      <c r="IU19" s="276"/>
      <c r="IV19" s="276"/>
    </row>
    <row r="20" spans="1:256" x14ac:dyDescent="0.25">
      <c r="A20" s="276"/>
      <c r="B20" s="276"/>
      <c r="C20" s="276"/>
      <c r="D20" s="276"/>
      <c r="E20" s="276"/>
      <c r="F20" s="276"/>
      <c r="G20" s="276"/>
      <c r="H20" s="276"/>
      <c r="I20" s="276"/>
      <c r="J20" s="276"/>
      <c r="K20" s="276"/>
      <c r="L20" s="276"/>
      <c r="M20" s="276"/>
      <c r="N20" s="276"/>
      <c r="O20" s="276"/>
      <c r="P20" s="276"/>
      <c r="Q20" s="276"/>
      <c r="R20" s="276"/>
      <c r="S20" s="276"/>
      <c r="T20" s="276"/>
      <c r="U20" s="276"/>
      <c r="V20" s="276"/>
      <c r="W20" s="276"/>
      <c r="X20" s="276"/>
      <c r="Y20" s="276"/>
      <c r="Z20" s="276"/>
      <c r="AA20" s="276"/>
      <c r="AB20" s="276"/>
      <c r="AC20" s="276"/>
      <c r="AD20" s="276"/>
      <c r="AE20" s="276"/>
      <c r="AF20" s="276"/>
      <c r="AG20" s="276"/>
      <c r="AH20" s="276"/>
      <c r="AI20" s="276"/>
      <c r="AJ20" s="276"/>
      <c r="AK20" s="276"/>
      <c r="AL20" s="276"/>
      <c r="AM20" s="276"/>
      <c r="AN20" s="276"/>
      <c r="AO20" s="276"/>
      <c r="AP20" s="276"/>
      <c r="AQ20" s="276"/>
      <c r="AR20" s="276"/>
      <c r="AS20" s="276"/>
      <c r="AT20" s="276"/>
      <c r="AU20" s="276"/>
      <c r="AV20" s="276"/>
      <c r="AW20" s="276"/>
      <c r="AX20" s="276"/>
      <c r="AY20" s="276"/>
      <c r="AZ20" s="276"/>
      <c r="BA20" s="276"/>
      <c r="BB20" s="276"/>
      <c r="BC20" s="276"/>
      <c r="BD20" s="276"/>
      <c r="BE20" s="276"/>
      <c r="BF20" s="276"/>
      <c r="BG20" s="276"/>
      <c r="BH20" s="276"/>
      <c r="BI20" s="276"/>
      <c r="BJ20" s="276"/>
      <c r="BK20" s="276"/>
      <c r="BL20" s="276"/>
      <c r="BM20" s="276"/>
      <c r="BN20" s="276"/>
      <c r="BO20" s="276"/>
      <c r="BP20" s="276"/>
      <c r="BQ20" s="276"/>
      <c r="BR20" s="276"/>
      <c r="BS20" s="276"/>
      <c r="BT20" s="276"/>
      <c r="BU20" s="276"/>
      <c r="BV20" s="276"/>
      <c r="BW20" s="276"/>
      <c r="BX20" s="276"/>
      <c r="BY20" s="276"/>
      <c r="BZ20" s="276"/>
      <c r="CA20" s="276"/>
      <c r="CB20" s="276"/>
      <c r="CC20" s="276"/>
      <c r="CD20" s="276"/>
      <c r="CE20" s="276"/>
      <c r="CF20" s="276"/>
      <c r="CG20" s="276"/>
      <c r="CH20" s="276"/>
      <c r="CI20" s="276"/>
      <c r="CJ20" s="276"/>
      <c r="CK20" s="276"/>
      <c r="CL20" s="276"/>
      <c r="CM20" s="276"/>
      <c r="CN20" s="276"/>
      <c r="CO20" s="276"/>
      <c r="CP20" s="276"/>
      <c r="CQ20" s="276"/>
      <c r="CR20" s="276"/>
      <c r="CS20" s="276"/>
      <c r="CT20" s="276"/>
      <c r="CU20" s="276"/>
      <c r="CV20" s="276"/>
      <c r="CW20" s="276"/>
      <c r="CX20" s="276"/>
      <c r="CY20" s="276"/>
      <c r="CZ20" s="276"/>
      <c r="DA20" s="276"/>
      <c r="DB20" s="276"/>
      <c r="DC20" s="276"/>
      <c r="DD20" s="276"/>
      <c r="DE20" s="276"/>
      <c r="DF20" s="276"/>
      <c r="DG20" s="276"/>
      <c r="DH20" s="276"/>
      <c r="DI20" s="276"/>
      <c r="DJ20" s="276"/>
      <c r="DK20" s="276"/>
      <c r="DL20" s="276"/>
      <c r="DM20" s="276"/>
      <c r="DN20" s="276"/>
      <c r="DO20" s="276"/>
      <c r="DP20" s="276"/>
      <c r="DQ20" s="276"/>
      <c r="DR20" s="276"/>
      <c r="DS20" s="276"/>
      <c r="DT20" s="276"/>
      <c r="DU20" s="276"/>
      <c r="DV20" s="276"/>
      <c r="DW20" s="276"/>
      <c r="DX20" s="276"/>
      <c r="DY20" s="276"/>
      <c r="DZ20" s="276"/>
      <c r="EA20" s="276"/>
      <c r="EB20" s="276"/>
      <c r="EC20" s="276"/>
      <c r="ED20" s="276"/>
      <c r="EE20" s="276"/>
      <c r="EF20" s="276"/>
      <c r="EG20" s="276"/>
      <c r="EH20" s="276"/>
      <c r="EI20" s="276"/>
      <c r="EJ20" s="276"/>
      <c r="EK20" s="276"/>
      <c r="EL20" s="276"/>
      <c r="EM20" s="276"/>
      <c r="EN20" s="276"/>
      <c r="EO20" s="276"/>
      <c r="EP20" s="276"/>
      <c r="EQ20" s="276"/>
      <c r="ER20" s="276"/>
      <c r="ES20" s="276"/>
      <c r="ET20" s="276"/>
      <c r="EU20" s="276"/>
      <c r="EV20" s="276"/>
      <c r="EW20" s="276"/>
      <c r="EX20" s="276"/>
      <c r="EY20" s="276"/>
      <c r="EZ20" s="276"/>
      <c r="FA20" s="276"/>
      <c r="FB20" s="276"/>
      <c r="FC20" s="276"/>
      <c r="FD20" s="276"/>
      <c r="FE20" s="276"/>
      <c r="FF20" s="276"/>
      <c r="FG20" s="276"/>
      <c r="FH20" s="276"/>
      <c r="FI20" s="276"/>
      <c r="FJ20" s="276"/>
      <c r="FK20" s="276"/>
      <c r="FL20" s="276"/>
      <c r="FM20" s="276"/>
      <c r="FN20" s="276"/>
      <c r="FO20" s="276"/>
      <c r="FP20" s="276"/>
      <c r="FQ20" s="276"/>
      <c r="FR20" s="276"/>
      <c r="FS20" s="276"/>
      <c r="FT20" s="276"/>
      <c r="FU20" s="276"/>
      <c r="FV20" s="276"/>
      <c r="FW20" s="276"/>
      <c r="FX20" s="276"/>
      <c r="FY20" s="276"/>
      <c r="FZ20" s="276"/>
      <c r="GA20" s="276"/>
      <c r="GB20" s="276"/>
      <c r="GC20" s="276"/>
      <c r="GD20" s="276"/>
      <c r="GE20" s="276"/>
      <c r="GF20" s="276"/>
      <c r="GG20" s="276"/>
      <c r="GH20" s="276"/>
      <c r="GI20" s="276"/>
      <c r="GJ20" s="276"/>
      <c r="GK20" s="276"/>
      <c r="GL20" s="276"/>
      <c r="GM20" s="276"/>
      <c r="GN20" s="276"/>
      <c r="GO20" s="276"/>
      <c r="GP20" s="276"/>
      <c r="GQ20" s="276"/>
      <c r="GR20" s="276"/>
      <c r="GS20" s="276"/>
      <c r="GT20" s="276"/>
      <c r="GU20" s="276"/>
      <c r="GV20" s="276"/>
      <c r="GW20" s="276"/>
      <c r="GX20" s="276"/>
      <c r="GY20" s="276"/>
      <c r="GZ20" s="276"/>
      <c r="HA20" s="276"/>
      <c r="HB20" s="276"/>
      <c r="HC20" s="276"/>
      <c r="HD20" s="276"/>
      <c r="HE20" s="276"/>
      <c r="HF20" s="276"/>
      <c r="HG20" s="276"/>
      <c r="HH20" s="276"/>
      <c r="HI20" s="276"/>
      <c r="HJ20" s="276"/>
      <c r="HK20" s="276"/>
      <c r="HL20" s="276"/>
      <c r="HM20" s="276"/>
      <c r="HN20" s="276"/>
      <c r="HO20" s="276"/>
      <c r="HP20" s="276"/>
      <c r="HQ20" s="276"/>
      <c r="HR20" s="276"/>
      <c r="HS20" s="276"/>
      <c r="HT20" s="276"/>
      <c r="HU20" s="276"/>
      <c r="HV20" s="276"/>
      <c r="HW20" s="276"/>
      <c r="HX20" s="276"/>
      <c r="HY20" s="276"/>
      <c r="HZ20" s="276"/>
      <c r="IA20" s="276"/>
      <c r="IB20" s="276"/>
      <c r="IC20" s="276"/>
      <c r="ID20" s="276"/>
      <c r="IE20" s="276"/>
      <c r="IF20" s="276"/>
      <c r="IG20" s="276"/>
      <c r="IH20" s="276"/>
      <c r="II20" s="276"/>
      <c r="IJ20" s="276"/>
      <c r="IK20" s="276"/>
      <c r="IL20" s="276"/>
      <c r="IM20" s="276"/>
      <c r="IN20" s="276"/>
      <c r="IO20" s="276"/>
      <c r="IP20" s="276"/>
      <c r="IQ20" s="276"/>
      <c r="IR20" s="276"/>
      <c r="IS20" s="276"/>
      <c r="IT20" s="276"/>
      <c r="IU20" s="276"/>
      <c r="IV20" s="276"/>
    </row>
    <row r="21" spans="1:256" ht="17.399999999999999" x14ac:dyDescent="0.25">
      <c r="A21" s="277"/>
      <c r="B21" s="278" t="s">
        <v>1293</v>
      </c>
      <c r="C21" s="278"/>
      <c r="D21" s="278"/>
      <c r="E21" s="278"/>
      <c r="F21" s="278"/>
      <c r="G21" s="279"/>
      <c r="H21" s="278" t="s">
        <v>1294</v>
      </c>
      <c r="I21" s="278"/>
      <c r="J21" s="278"/>
      <c r="K21" s="278"/>
      <c r="L21" s="278"/>
      <c r="M21" s="279"/>
      <c r="N21" s="306" t="s">
        <v>1151</v>
      </c>
      <c r="O21" s="306"/>
      <c r="P21" s="306"/>
      <c r="Q21" s="306"/>
      <c r="R21" s="306"/>
      <c r="S21" s="307"/>
      <c r="T21" s="276"/>
      <c r="U21" s="276"/>
      <c r="V21" s="276"/>
      <c r="W21" s="276"/>
      <c r="X21" s="276"/>
      <c r="Y21" s="276"/>
      <c r="Z21" s="276"/>
      <c r="AA21" s="276"/>
      <c r="AB21" s="276"/>
      <c r="AC21" s="276"/>
      <c r="AD21" s="276"/>
      <c r="AE21" s="276"/>
      <c r="AF21" s="276"/>
      <c r="AG21" s="276"/>
      <c r="AH21" s="276"/>
      <c r="AI21" s="276"/>
      <c r="AJ21" s="276"/>
      <c r="AK21" s="276"/>
      <c r="AL21" s="276"/>
      <c r="AM21" s="276"/>
      <c r="AN21" s="276"/>
      <c r="AO21" s="276"/>
      <c r="AP21" s="276"/>
      <c r="AQ21" s="276"/>
      <c r="AR21" s="276"/>
      <c r="AS21" s="276"/>
      <c r="AT21" s="276"/>
      <c r="AU21" s="276"/>
      <c r="AV21" s="276"/>
      <c r="AW21" s="276"/>
      <c r="AX21" s="276"/>
      <c r="AY21" s="276"/>
      <c r="AZ21" s="276"/>
      <c r="BA21" s="276"/>
      <c r="BB21" s="276"/>
      <c r="BC21" s="276"/>
      <c r="BD21" s="276"/>
      <c r="BE21" s="276"/>
      <c r="BF21" s="276"/>
      <c r="BG21" s="276"/>
      <c r="BH21" s="276"/>
      <c r="BI21" s="276"/>
      <c r="BJ21" s="276"/>
      <c r="BK21" s="276"/>
      <c r="BL21" s="276"/>
      <c r="BM21" s="276"/>
      <c r="BN21" s="276"/>
      <c r="BO21" s="276"/>
      <c r="BP21" s="276"/>
      <c r="BQ21" s="276"/>
      <c r="BR21" s="276"/>
      <c r="BS21" s="276"/>
      <c r="BT21" s="276"/>
      <c r="BU21" s="276"/>
      <c r="BV21" s="276"/>
      <c r="BW21" s="276"/>
      <c r="BX21" s="276"/>
      <c r="BY21" s="276"/>
      <c r="BZ21" s="276"/>
      <c r="CA21" s="276"/>
      <c r="CB21" s="276"/>
      <c r="CC21" s="276"/>
      <c r="CD21" s="276"/>
      <c r="CE21" s="276"/>
      <c r="CF21" s="276"/>
      <c r="CG21" s="276"/>
      <c r="CH21" s="276"/>
      <c r="CI21" s="276"/>
      <c r="CJ21" s="276"/>
      <c r="CK21" s="276"/>
      <c r="CL21" s="276"/>
      <c r="CM21" s="276"/>
      <c r="CN21" s="276"/>
      <c r="CO21" s="276"/>
      <c r="CP21" s="276"/>
      <c r="CQ21" s="276"/>
      <c r="CR21" s="276"/>
      <c r="CS21" s="276"/>
      <c r="CT21" s="276"/>
      <c r="CU21" s="276"/>
      <c r="CV21" s="276"/>
      <c r="CW21" s="276"/>
      <c r="CX21" s="276"/>
      <c r="CY21" s="276"/>
      <c r="CZ21" s="276"/>
      <c r="DA21" s="276"/>
      <c r="DB21" s="276"/>
      <c r="DC21" s="276"/>
      <c r="DD21" s="276"/>
      <c r="DE21" s="276"/>
      <c r="DF21" s="276"/>
      <c r="DG21" s="276"/>
      <c r="DH21" s="276"/>
      <c r="DI21" s="276"/>
      <c r="DJ21" s="276"/>
      <c r="DK21" s="276"/>
      <c r="DL21" s="276"/>
      <c r="DM21" s="276"/>
      <c r="DN21" s="276"/>
      <c r="DO21" s="276"/>
      <c r="DP21" s="276"/>
      <c r="DQ21" s="276"/>
      <c r="DR21" s="276"/>
      <c r="DS21" s="276"/>
      <c r="DT21" s="276"/>
      <c r="DU21" s="276"/>
      <c r="DV21" s="276"/>
      <c r="DW21" s="276"/>
      <c r="DX21" s="276"/>
      <c r="DY21" s="276"/>
      <c r="DZ21" s="276"/>
      <c r="EA21" s="276"/>
      <c r="EB21" s="276"/>
      <c r="EC21" s="276"/>
      <c r="ED21" s="276"/>
      <c r="EE21" s="276"/>
      <c r="EF21" s="276"/>
      <c r="EG21" s="276"/>
      <c r="EH21" s="276"/>
      <c r="EI21" s="276"/>
      <c r="EJ21" s="276"/>
      <c r="EK21" s="276"/>
      <c r="EL21" s="276"/>
      <c r="EM21" s="276"/>
      <c r="EN21" s="276"/>
      <c r="EO21" s="276"/>
      <c r="EP21" s="276"/>
      <c r="EQ21" s="276"/>
      <c r="ER21" s="276"/>
      <c r="ES21" s="276"/>
      <c r="ET21" s="276"/>
      <c r="EU21" s="276"/>
      <c r="EV21" s="276"/>
      <c r="EW21" s="276"/>
      <c r="EX21" s="276"/>
      <c r="EY21" s="276"/>
      <c r="EZ21" s="276"/>
      <c r="FA21" s="276"/>
      <c r="FB21" s="276"/>
      <c r="FC21" s="276"/>
      <c r="FD21" s="276"/>
      <c r="FE21" s="276"/>
      <c r="FF21" s="276"/>
      <c r="FG21" s="276"/>
      <c r="FH21" s="276"/>
      <c r="FI21" s="276"/>
      <c r="FJ21" s="276"/>
      <c r="FK21" s="276"/>
      <c r="FL21" s="276"/>
      <c r="FM21" s="276"/>
      <c r="FN21" s="276"/>
      <c r="FO21" s="276"/>
      <c r="FP21" s="276"/>
      <c r="FQ21" s="276"/>
      <c r="FR21" s="276"/>
      <c r="FS21" s="276"/>
      <c r="FT21" s="276"/>
      <c r="FU21" s="276"/>
      <c r="FV21" s="276"/>
      <c r="FW21" s="276"/>
      <c r="FX21" s="276"/>
      <c r="FY21" s="276"/>
      <c r="FZ21" s="276"/>
      <c r="GA21" s="276"/>
      <c r="GB21" s="276"/>
      <c r="GC21" s="276"/>
      <c r="GD21" s="276"/>
      <c r="GE21" s="276"/>
      <c r="GF21" s="276"/>
      <c r="GG21" s="276"/>
      <c r="GH21" s="276"/>
      <c r="GI21" s="276"/>
      <c r="GJ21" s="276"/>
      <c r="GK21" s="276"/>
      <c r="GL21" s="276"/>
      <c r="GM21" s="276"/>
      <c r="GN21" s="276"/>
      <c r="GO21" s="276"/>
      <c r="GP21" s="276"/>
      <c r="GQ21" s="276"/>
      <c r="GR21" s="276"/>
      <c r="GS21" s="276"/>
      <c r="GT21" s="276"/>
      <c r="GU21" s="276"/>
      <c r="GV21" s="276"/>
      <c r="GW21" s="276"/>
      <c r="GX21" s="276"/>
      <c r="GY21" s="276"/>
      <c r="GZ21" s="276"/>
      <c r="HA21" s="276"/>
      <c r="HB21" s="276"/>
      <c r="HC21" s="276"/>
      <c r="HD21" s="276"/>
      <c r="HE21" s="276"/>
      <c r="HF21" s="276"/>
      <c r="HG21" s="276"/>
      <c r="HH21" s="276"/>
      <c r="HI21" s="276"/>
      <c r="HJ21" s="276"/>
      <c r="HK21" s="276"/>
      <c r="HL21" s="276"/>
      <c r="HM21" s="276"/>
      <c r="HN21" s="276"/>
      <c r="HO21" s="276"/>
      <c r="HP21" s="276"/>
      <c r="HQ21" s="276"/>
      <c r="HR21" s="276"/>
      <c r="HS21" s="276"/>
      <c r="HT21" s="276"/>
      <c r="HU21" s="276"/>
      <c r="HV21" s="276"/>
      <c r="HW21" s="276"/>
      <c r="HX21" s="276"/>
      <c r="HY21" s="276"/>
      <c r="HZ21" s="276"/>
      <c r="IA21" s="276"/>
      <c r="IB21" s="276"/>
      <c r="IC21" s="276"/>
      <c r="ID21" s="276"/>
      <c r="IE21" s="276"/>
      <c r="IF21" s="276"/>
      <c r="IG21" s="276"/>
      <c r="IH21" s="276"/>
      <c r="II21" s="276"/>
      <c r="IJ21" s="276"/>
      <c r="IK21" s="276"/>
      <c r="IL21" s="276"/>
      <c r="IM21" s="276"/>
      <c r="IN21" s="276"/>
      <c r="IO21" s="276"/>
      <c r="IP21" s="276"/>
      <c r="IQ21" s="276"/>
      <c r="IR21" s="276"/>
      <c r="IS21" s="276"/>
      <c r="IT21" s="276"/>
      <c r="IU21" s="276"/>
      <c r="IV21" s="276"/>
    </row>
    <row r="22" spans="1:256" ht="15.6" x14ac:dyDescent="0.25">
      <c r="A22" s="280" t="s">
        <v>770</v>
      </c>
      <c r="B22" s="281" t="s">
        <v>1021</v>
      </c>
      <c r="C22" s="282"/>
      <c r="D22" s="283" t="s">
        <v>1022</v>
      </c>
      <c r="E22" s="282"/>
      <c r="F22" s="283" t="s">
        <v>780</v>
      </c>
      <c r="G22" s="284"/>
      <c r="H22" s="285" t="s">
        <v>1021</v>
      </c>
      <c r="I22" s="286"/>
      <c r="J22" s="287" t="s">
        <v>1022</v>
      </c>
      <c r="K22" s="286"/>
      <c r="L22" s="287" t="s">
        <v>780</v>
      </c>
      <c r="M22" s="288"/>
      <c r="N22" s="285" t="s">
        <v>1021</v>
      </c>
      <c r="O22" s="286"/>
      <c r="P22" s="287" t="s">
        <v>1022</v>
      </c>
      <c r="Q22" s="286"/>
      <c r="R22" s="287" t="s">
        <v>780</v>
      </c>
      <c r="S22" s="288"/>
      <c r="T22" s="276"/>
      <c r="U22" s="276"/>
      <c r="V22" s="276"/>
      <c r="W22" s="191"/>
      <c r="X22" s="191"/>
      <c r="Y22" s="276"/>
      <c r="Z22" s="276"/>
      <c r="AA22" s="276"/>
      <c r="AB22" s="276"/>
      <c r="AC22" s="276"/>
      <c r="AD22" s="276"/>
      <c r="AE22" s="276"/>
      <c r="AF22" s="276"/>
      <c r="AG22" s="276"/>
      <c r="AH22" s="276"/>
      <c r="AI22" s="276"/>
      <c r="AJ22" s="276"/>
      <c r="AK22" s="276"/>
      <c r="AL22" s="276"/>
      <c r="AM22" s="276"/>
      <c r="AN22" s="276"/>
      <c r="AO22" s="276"/>
      <c r="AP22" s="276"/>
      <c r="AQ22" s="276"/>
      <c r="AR22" s="276"/>
      <c r="AS22" s="276"/>
      <c r="AT22" s="276"/>
      <c r="AU22" s="276"/>
      <c r="AV22" s="276"/>
      <c r="AW22" s="276"/>
      <c r="AX22" s="276"/>
      <c r="AY22" s="276"/>
      <c r="AZ22" s="276"/>
      <c r="BA22" s="276"/>
      <c r="BB22" s="276"/>
      <c r="BC22" s="276"/>
      <c r="BD22" s="276"/>
      <c r="BE22" s="276"/>
      <c r="BF22" s="276"/>
      <c r="BG22" s="276"/>
      <c r="BH22" s="276"/>
      <c r="BI22" s="276"/>
      <c r="BJ22" s="276"/>
      <c r="BK22" s="276"/>
      <c r="BL22" s="276"/>
      <c r="BM22" s="276"/>
      <c r="BN22" s="276"/>
      <c r="BO22" s="276"/>
      <c r="BP22" s="276"/>
      <c r="BQ22" s="276"/>
      <c r="BR22" s="276"/>
      <c r="BS22" s="276"/>
      <c r="BT22" s="276"/>
      <c r="BU22" s="276"/>
      <c r="BV22" s="276"/>
      <c r="BW22" s="276"/>
      <c r="BX22" s="276"/>
      <c r="BY22" s="276"/>
      <c r="BZ22" s="276"/>
      <c r="CA22" s="276"/>
      <c r="CB22" s="276"/>
      <c r="CC22" s="276"/>
      <c r="CD22" s="276"/>
      <c r="CE22" s="276"/>
      <c r="CF22" s="276"/>
      <c r="CG22" s="276"/>
      <c r="CH22" s="276"/>
      <c r="CI22" s="276"/>
      <c r="CJ22" s="276"/>
      <c r="CK22" s="276"/>
      <c r="CL22" s="276"/>
      <c r="CM22" s="276"/>
      <c r="CN22" s="276"/>
      <c r="CO22" s="276"/>
      <c r="CP22" s="276"/>
      <c r="CQ22" s="276"/>
      <c r="CR22" s="276"/>
      <c r="CS22" s="276"/>
      <c r="CT22" s="276"/>
      <c r="CU22" s="276"/>
      <c r="CV22" s="276"/>
      <c r="CW22" s="276"/>
      <c r="CX22" s="276"/>
      <c r="CY22" s="276"/>
      <c r="CZ22" s="276"/>
      <c r="DA22" s="276"/>
      <c r="DB22" s="276"/>
      <c r="DC22" s="276"/>
      <c r="DD22" s="276"/>
      <c r="DE22" s="276"/>
      <c r="DF22" s="276"/>
      <c r="DG22" s="276"/>
      <c r="DH22" s="276"/>
      <c r="DI22" s="276"/>
      <c r="DJ22" s="276"/>
      <c r="DK22" s="276"/>
      <c r="DL22" s="276"/>
      <c r="DM22" s="276"/>
      <c r="DN22" s="276"/>
      <c r="DO22" s="276"/>
      <c r="DP22" s="276"/>
      <c r="DQ22" s="276"/>
      <c r="DR22" s="276"/>
      <c r="DS22" s="276"/>
      <c r="DT22" s="276"/>
      <c r="DU22" s="276"/>
      <c r="DV22" s="276"/>
      <c r="DW22" s="276"/>
      <c r="DX22" s="276"/>
      <c r="DY22" s="276"/>
      <c r="DZ22" s="276"/>
      <c r="EA22" s="276"/>
      <c r="EB22" s="276"/>
      <c r="EC22" s="276"/>
      <c r="ED22" s="276"/>
      <c r="EE22" s="276"/>
      <c r="EF22" s="276"/>
      <c r="EG22" s="276"/>
      <c r="EH22" s="276"/>
      <c r="EI22" s="276"/>
      <c r="EJ22" s="276"/>
      <c r="EK22" s="276"/>
      <c r="EL22" s="276"/>
      <c r="EM22" s="276"/>
      <c r="EN22" s="276"/>
      <c r="EO22" s="276"/>
      <c r="EP22" s="276"/>
      <c r="EQ22" s="276"/>
      <c r="ER22" s="276"/>
      <c r="ES22" s="276"/>
      <c r="ET22" s="276"/>
      <c r="EU22" s="276"/>
      <c r="EV22" s="276"/>
      <c r="EW22" s="276"/>
      <c r="EX22" s="276"/>
      <c r="EY22" s="276"/>
      <c r="EZ22" s="276"/>
      <c r="FA22" s="276"/>
      <c r="FB22" s="276"/>
      <c r="FC22" s="276"/>
      <c r="FD22" s="276"/>
      <c r="FE22" s="276"/>
      <c r="FF22" s="276"/>
      <c r="FG22" s="276"/>
      <c r="FH22" s="276"/>
      <c r="FI22" s="276"/>
      <c r="FJ22" s="276"/>
      <c r="FK22" s="276"/>
      <c r="FL22" s="276"/>
      <c r="FM22" s="276"/>
      <c r="FN22" s="276"/>
      <c r="FO22" s="276"/>
      <c r="FP22" s="276"/>
      <c r="FQ22" s="276"/>
      <c r="FR22" s="276"/>
      <c r="FS22" s="276"/>
      <c r="FT22" s="276"/>
      <c r="FU22" s="276"/>
      <c r="FV22" s="276"/>
      <c r="FW22" s="276"/>
      <c r="FX22" s="276"/>
      <c r="FY22" s="276"/>
      <c r="FZ22" s="276"/>
      <c r="GA22" s="276"/>
      <c r="GB22" s="276"/>
      <c r="GC22" s="276"/>
      <c r="GD22" s="276"/>
      <c r="GE22" s="276"/>
      <c r="GF22" s="276"/>
      <c r="GG22" s="276"/>
      <c r="GH22" s="276"/>
      <c r="GI22" s="276"/>
      <c r="GJ22" s="276"/>
      <c r="GK22" s="276"/>
      <c r="GL22" s="276"/>
      <c r="GM22" s="276"/>
      <c r="GN22" s="276"/>
      <c r="GO22" s="276"/>
      <c r="GP22" s="276"/>
      <c r="GQ22" s="276"/>
      <c r="GR22" s="276"/>
      <c r="GS22" s="276"/>
      <c r="GT22" s="276"/>
      <c r="GU22" s="276"/>
      <c r="GV22" s="276"/>
      <c r="GW22" s="276"/>
      <c r="GX22" s="276"/>
      <c r="GY22" s="276"/>
      <c r="GZ22" s="276"/>
      <c r="HA22" s="276"/>
      <c r="HB22" s="276"/>
      <c r="HC22" s="276"/>
      <c r="HD22" s="276"/>
      <c r="HE22" s="276"/>
      <c r="HF22" s="276"/>
      <c r="HG22" s="276"/>
      <c r="HH22" s="276"/>
      <c r="HI22" s="276"/>
      <c r="HJ22" s="276"/>
      <c r="HK22" s="276"/>
      <c r="HL22" s="276"/>
      <c r="HM22" s="276"/>
      <c r="HN22" s="276"/>
      <c r="HO22" s="276"/>
      <c r="HP22" s="276"/>
      <c r="HQ22" s="276"/>
      <c r="HR22" s="276"/>
      <c r="HS22" s="276"/>
      <c r="HT22" s="276"/>
      <c r="HU22" s="276"/>
      <c r="HV22" s="276"/>
      <c r="HW22" s="276"/>
      <c r="HX22" s="276"/>
      <c r="HY22" s="276"/>
      <c r="HZ22" s="276"/>
      <c r="IA22" s="276"/>
      <c r="IB22" s="276"/>
      <c r="IC22" s="276"/>
      <c r="ID22" s="276"/>
      <c r="IE22" s="276"/>
      <c r="IF22" s="276"/>
      <c r="IG22" s="276"/>
      <c r="IH22" s="276"/>
      <c r="II22" s="276"/>
      <c r="IJ22" s="276"/>
      <c r="IK22" s="276"/>
      <c r="IL22" s="276"/>
      <c r="IM22" s="276"/>
      <c r="IN22" s="276"/>
      <c r="IO22" s="276"/>
      <c r="IP22" s="276"/>
      <c r="IQ22" s="276"/>
      <c r="IR22" s="276"/>
      <c r="IS22" s="276"/>
      <c r="IT22" s="276"/>
      <c r="IU22" s="276"/>
      <c r="IV22" s="276"/>
    </row>
    <row r="23" spans="1:256" x14ac:dyDescent="0.25">
      <c r="A23" s="289"/>
      <c r="B23" s="290" t="s">
        <v>1295</v>
      </c>
      <c r="C23" s="291" t="s">
        <v>1159</v>
      </c>
      <c r="D23" s="290" t="s">
        <v>1295</v>
      </c>
      <c r="E23" s="291" t="s">
        <v>1159</v>
      </c>
      <c r="F23" s="290" t="s">
        <v>1295</v>
      </c>
      <c r="G23" s="292" t="s">
        <v>1159</v>
      </c>
      <c r="H23" s="293" t="s">
        <v>1295</v>
      </c>
      <c r="I23" s="294" t="s">
        <v>1159</v>
      </c>
      <c r="J23" s="293" t="s">
        <v>1295</v>
      </c>
      <c r="K23" s="294" t="s">
        <v>1159</v>
      </c>
      <c r="L23" s="293" t="s">
        <v>1295</v>
      </c>
      <c r="M23" s="295" t="s">
        <v>1159</v>
      </c>
      <c r="N23" s="293" t="s">
        <v>1295</v>
      </c>
      <c r="O23" s="294" t="s">
        <v>1159</v>
      </c>
      <c r="P23" s="293" t="s">
        <v>1295</v>
      </c>
      <c r="Q23" s="294" t="s">
        <v>1159</v>
      </c>
      <c r="R23" s="293" t="s">
        <v>1295</v>
      </c>
      <c r="S23" s="308" t="s">
        <v>1159</v>
      </c>
      <c r="T23" s="276"/>
      <c r="U23" s="276"/>
      <c r="V23" s="276"/>
      <c r="W23" s="191"/>
      <c r="X23" s="191"/>
      <c r="Y23" s="276"/>
      <c r="Z23" s="276"/>
      <c r="AA23" s="276"/>
      <c r="AB23" s="276"/>
      <c r="AC23" s="276"/>
      <c r="AD23" s="276"/>
      <c r="AE23" s="276"/>
      <c r="AF23" s="276"/>
      <c r="AG23" s="276"/>
      <c r="AH23" s="276"/>
      <c r="AI23" s="276"/>
      <c r="AJ23" s="276"/>
      <c r="AK23" s="276"/>
      <c r="AL23" s="276"/>
      <c r="AM23" s="276"/>
      <c r="AN23" s="276"/>
      <c r="AO23" s="276"/>
      <c r="AP23" s="276"/>
      <c r="AQ23" s="276"/>
      <c r="AR23" s="276"/>
      <c r="AS23" s="276"/>
      <c r="AT23" s="276"/>
      <c r="AU23" s="276"/>
      <c r="AV23" s="276"/>
      <c r="AW23" s="276"/>
      <c r="AX23" s="276"/>
      <c r="AY23" s="276"/>
      <c r="AZ23" s="276"/>
      <c r="BA23" s="276"/>
      <c r="BB23" s="276"/>
      <c r="BC23" s="276"/>
      <c r="BD23" s="276"/>
      <c r="BE23" s="276"/>
      <c r="BF23" s="276"/>
      <c r="BG23" s="276"/>
      <c r="BH23" s="276"/>
      <c r="BI23" s="276"/>
      <c r="BJ23" s="276"/>
      <c r="BK23" s="276"/>
      <c r="BL23" s="276"/>
      <c r="BM23" s="276"/>
      <c r="BN23" s="276"/>
      <c r="BO23" s="276"/>
      <c r="BP23" s="276"/>
      <c r="BQ23" s="276"/>
      <c r="BR23" s="276"/>
      <c r="BS23" s="276"/>
      <c r="BT23" s="276"/>
      <c r="BU23" s="276"/>
      <c r="BV23" s="276"/>
      <c r="BW23" s="276"/>
      <c r="BX23" s="276"/>
      <c r="BY23" s="276"/>
      <c r="BZ23" s="276"/>
      <c r="CA23" s="276"/>
      <c r="CB23" s="276"/>
      <c r="CC23" s="276"/>
      <c r="CD23" s="276"/>
      <c r="CE23" s="276"/>
      <c r="CF23" s="276"/>
      <c r="CG23" s="276"/>
      <c r="CH23" s="276"/>
      <c r="CI23" s="276"/>
      <c r="CJ23" s="276"/>
      <c r="CK23" s="276"/>
      <c r="CL23" s="276"/>
      <c r="CM23" s="276"/>
      <c r="CN23" s="276"/>
      <c r="CO23" s="276"/>
      <c r="CP23" s="276"/>
      <c r="CQ23" s="276"/>
      <c r="CR23" s="276"/>
      <c r="CS23" s="276"/>
      <c r="CT23" s="276"/>
      <c r="CU23" s="276"/>
      <c r="CV23" s="276"/>
      <c r="CW23" s="276"/>
      <c r="CX23" s="276"/>
      <c r="CY23" s="276"/>
      <c r="CZ23" s="276"/>
      <c r="DA23" s="276"/>
      <c r="DB23" s="276"/>
      <c r="DC23" s="276"/>
      <c r="DD23" s="276"/>
      <c r="DE23" s="276"/>
      <c r="DF23" s="276"/>
      <c r="DG23" s="276"/>
      <c r="DH23" s="276"/>
      <c r="DI23" s="276"/>
      <c r="DJ23" s="276"/>
      <c r="DK23" s="276"/>
      <c r="DL23" s="276"/>
      <c r="DM23" s="276"/>
      <c r="DN23" s="276"/>
      <c r="DO23" s="276"/>
      <c r="DP23" s="276"/>
      <c r="DQ23" s="276"/>
      <c r="DR23" s="276"/>
      <c r="DS23" s="276"/>
      <c r="DT23" s="276"/>
      <c r="DU23" s="276"/>
      <c r="DV23" s="276"/>
      <c r="DW23" s="276"/>
      <c r="DX23" s="276"/>
      <c r="DY23" s="276"/>
      <c r="DZ23" s="276"/>
      <c r="EA23" s="276"/>
      <c r="EB23" s="276"/>
      <c r="EC23" s="276"/>
      <c r="ED23" s="276"/>
      <c r="EE23" s="276"/>
      <c r="EF23" s="276"/>
      <c r="EG23" s="276"/>
      <c r="EH23" s="276"/>
      <c r="EI23" s="276"/>
      <c r="EJ23" s="276"/>
      <c r="EK23" s="276"/>
      <c r="EL23" s="276"/>
      <c r="EM23" s="276"/>
      <c r="EN23" s="276"/>
      <c r="EO23" s="276"/>
      <c r="EP23" s="276"/>
      <c r="EQ23" s="276"/>
      <c r="ER23" s="276"/>
      <c r="ES23" s="276"/>
      <c r="ET23" s="276"/>
      <c r="EU23" s="276"/>
      <c r="EV23" s="276"/>
      <c r="EW23" s="276"/>
      <c r="EX23" s="276"/>
      <c r="EY23" s="276"/>
      <c r="EZ23" s="276"/>
      <c r="FA23" s="276"/>
      <c r="FB23" s="276"/>
      <c r="FC23" s="276"/>
      <c r="FD23" s="276"/>
      <c r="FE23" s="276"/>
      <c r="FF23" s="276"/>
      <c r="FG23" s="276"/>
      <c r="FH23" s="276"/>
      <c r="FI23" s="276"/>
      <c r="FJ23" s="276"/>
      <c r="FK23" s="276"/>
      <c r="FL23" s="276"/>
      <c r="FM23" s="276"/>
      <c r="FN23" s="276"/>
      <c r="FO23" s="276"/>
      <c r="FP23" s="276"/>
      <c r="FQ23" s="276"/>
      <c r="FR23" s="276"/>
      <c r="FS23" s="276"/>
      <c r="FT23" s="276"/>
      <c r="FU23" s="276"/>
      <c r="FV23" s="276"/>
      <c r="FW23" s="276"/>
      <c r="FX23" s="276"/>
      <c r="FY23" s="276"/>
      <c r="FZ23" s="276"/>
      <c r="GA23" s="276"/>
      <c r="GB23" s="276"/>
      <c r="GC23" s="276"/>
      <c r="GD23" s="276"/>
      <c r="GE23" s="276"/>
      <c r="GF23" s="276"/>
      <c r="GG23" s="276"/>
      <c r="GH23" s="276"/>
      <c r="GI23" s="276"/>
      <c r="GJ23" s="276"/>
      <c r="GK23" s="276"/>
      <c r="GL23" s="276"/>
      <c r="GM23" s="276"/>
      <c r="GN23" s="276"/>
      <c r="GO23" s="276"/>
      <c r="GP23" s="276"/>
      <c r="GQ23" s="276"/>
      <c r="GR23" s="276"/>
      <c r="GS23" s="276"/>
      <c r="GT23" s="276"/>
      <c r="GU23" s="276"/>
      <c r="GV23" s="276"/>
      <c r="GW23" s="276"/>
      <c r="GX23" s="276"/>
      <c r="GY23" s="276"/>
      <c r="GZ23" s="276"/>
      <c r="HA23" s="276"/>
      <c r="HB23" s="276"/>
      <c r="HC23" s="276"/>
      <c r="HD23" s="276"/>
      <c r="HE23" s="276"/>
      <c r="HF23" s="276"/>
      <c r="HG23" s="276"/>
      <c r="HH23" s="276"/>
      <c r="HI23" s="276"/>
      <c r="HJ23" s="276"/>
      <c r="HK23" s="276"/>
      <c r="HL23" s="276"/>
      <c r="HM23" s="276"/>
      <c r="HN23" s="276"/>
      <c r="HO23" s="276"/>
      <c r="HP23" s="276"/>
      <c r="HQ23" s="276"/>
      <c r="HR23" s="276"/>
      <c r="HS23" s="276"/>
      <c r="HT23" s="276"/>
      <c r="HU23" s="276"/>
      <c r="HV23" s="276"/>
      <c r="HW23" s="276"/>
      <c r="HX23" s="276"/>
      <c r="HY23" s="276"/>
      <c r="HZ23" s="276"/>
      <c r="IA23" s="276"/>
      <c r="IB23" s="276"/>
      <c r="IC23" s="276"/>
      <c r="ID23" s="276"/>
      <c r="IE23" s="276"/>
      <c r="IF23" s="276"/>
      <c r="IG23" s="276"/>
      <c r="IH23" s="276"/>
      <c r="II23" s="276"/>
      <c r="IJ23" s="276"/>
      <c r="IK23" s="276"/>
      <c r="IL23" s="276"/>
      <c r="IM23" s="276"/>
      <c r="IN23" s="276"/>
      <c r="IO23" s="276"/>
      <c r="IP23" s="276"/>
      <c r="IQ23" s="276"/>
      <c r="IR23" s="276"/>
      <c r="IS23" s="276"/>
      <c r="IT23" s="276"/>
      <c r="IU23" s="276"/>
      <c r="IV23" s="276"/>
    </row>
    <row r="24" spans="1:256" hidden="1" x14ac:dyDescent="0.25">
      <c r="A24" s="433"/>
      <c r="B24" s="434"/>
      <c r="C24" s="426"/>
      <c r="D24" s="434"/>
      <c r="E24" s="426"/>
      <c r="F24" s="434"/>
      <c r="G24" s="435"/>
      <c r="H24" s="434"/>
      <c r="I24" s="426"/>
      <c r="J24" s="434"/>
      <c r="K24" s="426"/>
      <c r="L24" s="434"/>
      <c r="M24" s="435"/>
      <c r="N24" s="434"/>
      <c r="O24" s="426"/>
      <c r="P24" s="434"/>
      <c r="Q24" s="426"/>
      <c r="R24" s="434"/>
      <c r="S24" s="436"/>
      <c r="T24" s="276"/>
      <c r="U24" s="276"/>
      <c r="V24" s="276"/>
      <c r="W24" s="191"/>
      <c r="X24" s="191"/>
      <c r="Y24" s="276"/>
      <c r="Z24" s="276"/>
      <c r="AA24" s="276"/>
      <c r="AB24" s="276"/>
      <c r="AC24" s="276"/>
      <c r="AD24" s="276"/>
      <c r="AE24" s="276"/>
      <c r="AF24" s="276"/>
      <c r="AG24" s="276"/>
      <c r="AH24" s="276"/>
      <c r="AI24" s="276"/>
      <c r="AJ24" s="276"/>
      <c r="AK24" s="276"/>
      <c r="AL24" s="276"/>
      <c r="AM24" s="276"/>
      <c r="AN24" s="276"/>
      <c r="AO24" s="276"/>
      <c r="AP24" s="276"/>
      <c r="AQ24" s="276"/>
      <c r="AR24" s="276"/>
      <c r="AS24" s="276"/>
      <c r="AT24" s="276"/>
      <c r="AU24" s="276"/>
      <c r="AV24" s="276"/>
      <c r="AW24" s="276"/>
      <c r="AX24" s="276"/>
      <c r="AY24" s="276"/>
      <c r="AZ24" s="276"/>
      <c r="BA24" s="276"/>
      <c r="BB24" s="276"/>
      <c r="BC24" s="276"/>
      <c r="BD24" s="276"/>
      <c r="BE24" s="276"/>
      <c r="BF24" s="276"/>
      <c r="BG24" s="276"/>
      <c r="BH24" s="276"/>
      <c r="BI24" s="276"/>
      <c r="BJ24" s="276"/>
      <c r="BK24" s="276"/>
      <c r="BL24" s="276"/>
      <c r="BM24" s="276"/>
      <c r="BN24" s="276"/>
      <c r="BO24" s="276"/>
      <c r="BP24" s="276"/>
      <c r="BQ24" s="276"/>
      <c r="BR24" s="276"/>
      <c r="BS24" s="276"/>
      <c r="BT24" s="276"/>
      <c r="BU24" s="276"/>
      <c r="BV24" s="276"/>
      <c r="BW24" s="276"/>
      <c r="BX24" s="276"/>
      <c r="BY24" s="276"/>
      <c r="BZ24" s="276"/>
      <c r="CA24" s="276"/>
      <c r="CB24" s="276"/>
      <c r="CC24" s="276"/>
      <c r="CD24" s="276"/>
      <c r="CE24" s="276"/>
      <c r="CF24" s="276"/>
      <c r="CG24" s="276"/>
      <c r="CH24" s="276"/>
      <c r="CI24" s="276"/>
      <c r="CJ24" s="276"/>
      <c r="CK24" s="276"/>
      <c r="CL24" s="276"/>
      <c r="CM24" s="276"/>
      <c r="CN24" s="276"/>
      <c r="CO24" s="276"/>
      <c r="CP24" s="276"/>
      <c r="CQ24" s="276"/>
      <c r="CR24" s="276"/>
      <c r="CS24" s="276"/>
      <c r="CT24" s="276"/>
      <c r="CU24" s="276"/>
      <c r="CV24" s="276"/>
      <c r="CW24" s="276"/>
      <c r="CX24" s="276"/>
      <c r="CY24" s="276"/>
      <c r="CZ24" s="276"/>
      <c r="DA24" s="276"/>
      <c r="DB24" s="276"/>
      <c r="DC24" s="276"/>
      <c r="DD24" s="276"/>
      <c r="DE24" s="276"/>
      <c r="DF24" s="276"/>
      <c r="DG24" s="276"/>
      <c r="DH24" s="276"/>
      <c r="DI24" s="276"/>
      <c r="DJ24" s="276"/>
      <c r="DK24" s="276"/>
      <c r="DL24" s="276"/>
      <c r="DM24" s="276"/>
      <c r="DN24" s="276"/>
      <c r="DO24" s="276"/>
      <c r="DP24" s="276"/>
      <c r="DQ24" s="276"/>
      <c r="DR24" s="276"/>
      <c r="DS24" s="276"/>
      <c r="DT24" s="276"/>
      <c r="DU24" s="276"/>
      <c r="DV24" s="276"/>
      <c r="DW24" s="276"/>
      <c r="DX24" s="276"/>
      <c r="DY24" s="276"/>
      <c r="DZ24" s="276"/>
      <c r="EA24" s="276"/>
      <c r="EB24" s="276"/>
      <c r="EC24" s="276"/>
      <c r="ED24" s="276"/>
      <c r="EE24" s="276"/>
      <c r="EF24" s="276"/>
      <c r="EG24" s="276"/>
      <c r="EH24" s="276"/>
      <c r="EI24" s="276"/>
      <c r="EJ24" s="276"/>
      <c r="EK24" s="276"/>
      <c r="EL24" s="276"/>
      <c r="EM24" s="276"/>
      <c r="EN24" s="276"/>
      <c r="EO24" s="276"/>
      <c r="EP24" s="276"/>
      <c r="EQ24" s="276"/>
      <c r="ER24" s="276"/>
      <c r="ES24" s="276"/>
      <c r="ET24" s="276"/>
      <c r="EU24" s="276"/>
      <c r="EV24" s="276"/>
      <c r="EW24" s="276"/>
      <c r="EX24" s="276"/>
      <c r="EY24" s="276"/>
      <c r="EZ24" s="276"/>
      <c r="FA24" s="276"/>
      <c r="FB24" s="276"/>
      <c r="FC24" s="276"/>
      <c r="FD24" s="276"/>
      <c r="FE24" s="276"/>
      <c r="FF24" s="276"/>
      <c r="FG24" s="276"/>
      <c r="FH24" s="276"/>
      <c r="FI24" s="276"/>
      <c r="FJ24" s="276"/>
      <c r="FK24" s="276"/>
      <c r="FL24" s="276"/>
      <c r="FM24" s="276"/>
      <c r="FN24" s="276"/>
      <c r="FO24" s="276"/>
      <c r="FP24" s="276"/>
      <c r="FQ24" s="276"/>
      <c r="FR24" s="276"/>
      <c r="FS24" s="276"/>
      <c r="FT24" s="276"/>
      <c r="FU24" s="276"/>
      <c r="FV24" s="276"/>
      <c r="FW24" s="276"/>
      <c r="FX24" s="276"/>
      <c r="FY24" s="276"/>
      <c r="FZ24" s="276"/>
      <c r="GA24" s="276"/>
      <c r="GB24" s="276"/>
      <c r="GC24" s="276"/>
      <c r="GD24" s="276"/>
      <c r="GE24" s="276"/>
      <c r="GF24" s="276"/>
      <c r="GG24" s="276"/>
      <c r="GH24" s="276"/>
      <c r="GI24" s="276"/>
      <c r="GJ24" s="276"/>
      <c r="GK24" s="276"/>
      <c r="GL24" s="276"/>
      <c r="GM24" s="276"/>
      <c r="GN24" s="276"/>
      <c r="GO24" s="276"/>
      <c r="GP24" s="276"/>
      <c r="GQ24" s="276"/>
      <c r="GR24" s="276"/>
      <c r="GS24" s="276"/>
      <c r="GT24" s="276"/>
      <c r="GU24" s="276"/>
      <c r="GV24" s="276"/>
      <c r="GW24" s="276"/>
      <c r="GX24" s="276"/>
      <c r="GY24" s="276"/>
      <c r="GZ24" s="276"/>
      <c r="HA24" s="276"/>
      <c r="HB24" s="276"/>
      <c r="HC24" s="276"/>
      <c r="HD24" s="276"/>
      <c r="HE24" s="276"/>
      <c r="HF24" s="276"/>
      <c r="HG24" s="276"/>
      <c r="HH24" s="276"/>
      <c r="HI24" s="276"/>
      <c r="HJ24" s="276"/>
      <c r="HK24" s="276"/>
      <c r="HL24" s="276"/>
      <c r="HM24" s="276"/>
      <c r="HN24" s="276"/>
      <c r="HO24" s="276"/>
      <c r="HP24" s="276"/>
      <c r="HQ24" s="276"/>
      <c r="HR24" s="276"/>
      <c r="HS24" s="276"/>
      <c r="HT24" s="276"/>
      <c r="HU24" s="276"/>
      <c r="HV24" s="276"/>
      <c r="HW24" s="276"/>
      <c r="HX24" s="276"/>
      <c r="HY24" s="276"/>
      <c r="HZ24" s="276"/>
      <c r="IA24" s="276"/>
      <c r="IB24" s="276"/>
      <c r="IC24" s="276"/>
      <c r="ID24" s="276"/>
      <c r="IE24" s="276"/>
      <c r="IF24" s="276"/>
      <c r="IG24" s="276"/>
      <c r="IH24" s="276"/>
      <c r="II24" s="276"/>
      <c r="IJ24" s="276"/>
      <c r="IK24" s="276"/>
      <c r="IL24" s="276"/>
      <c r="IM24" s="276"/>
      <c r="IN24" s="276"/>
      <c r="IO24" s="276"/>
      <c r="IP24" s="276"/>
      <c r="IQ24" s="276"/>
      <c r="IR24" s="276"/>
      <c r="IS24" s="276"/>
      <c r="IT24" s="276"/>
      <c r="IU24" s="276"/>
      <c r="IV24" s="276"/>
    </row>
    <row r="25" spans="1:256" hidden="1" x14ac:dyDescent="0.25">
      <c r="A25" s="296">
        <v>2008</v>
      </c>
      <c r="B25" s="297">
        <v>2099</v>
      </c>
      <c r="C25" s="298">
        <f>B25/R25</f>
        <v>0.91102430555555558</v>
      </c>
      <c r="D25" s="297">
        <v>74</v>
      </c>
      <c r="E25" s="298">
        <f>D25/R25</f>
        <v>3.2118055555555552E-2</v>
      </c>
      <c r="F25" s="297">
        <f>B25+D25</f>
        <v>2173</v>
      </c>
      <c r="G25" s="299">
        <f>F25/R25</f>
        <v>0.94314236111111116</v>
      </c>
      <c r="H25" s="297">
        <v>130</v>
      </c>
      <c r="I25" s="298">
        <f>+H25/R25</f>
        <v>5.6423611111111112E-2</v>
      </c>
      <c r="J25" s="297">
        <v>1</v>
      </c>
      <c r="K25" s="298">
        <f>J25/R25</f>
        <v>4.3402777777777775E-4</v>
      </c>
      <c r="L25" s="297">
        <f>H25+J25</f>
        <v>131</v>
      </c>
      <c r="M25" s="299">
        <f>L25/R25</f>
        <v>5.6857638888888888E-2</v>
      </c>
      <c r="N25" s="297">
        <f>B25+H25</f>
        <v>2229</v>
      </c>
      <c r="O25" s="298">
        <f>N25/R25</f>
        <v>0.96744791666666663</v>
      </c>
      <c r="P25" s="297">
        <f>D25+J25</f>
        <v>75</v>
      </c>
      <c r="Q25" s="298">
        <f>P25/R25</f>
        <v>3.2552083333333336E-2</v>
      </c>
      <c r="R25" s="297">
        <f>N25+P25</f>
        <v>2304</v>
      </c>
      <c r="S25" s="300">
        <f>SUM(G25,M25)</f>
        <v>1</v>
      </c>
      <c r="T25" s="276"/>
      <c r="U25" s="276"/>
      <c r="V25" s="276"/>
      <c r="W25" s="191"/>
      <c r="X25" s="191"/>
      <c r="Y25" s="276"/>
      <c r="Z25" s="276"/>
      <c r="AA25" s="276"/>
      <c r="AB25" s="276"/>
      <c r="AC25" s="276"/>
      <c r="AD25" s="276"/>
      <c r="AE25" s="276"/>
      <c r="AF25" s="276"/>
      <c r="AG25" s="276"/>
      <c r="AH25" s="276"/>
      <c r="AI25" s="276"/>
      <c r="AJ25" s="276"/>
      <c r="AK25" s="276"/>
      <c r="AL25" s="276"/>
      <c r="AM25" s="276"/>
      <c r="AN25" s="276"/>
      <c r="AO25" s="276"/>
      <c r="AP25" s="276"/>
      <c r="AQ25" s="276"/>
      <c r="AR25" s="276"/>
      <c r="AS25" s="276"/>
      <c r="AT25" s="276"/>
      <c r="AU25" s="276"/>
      <c r="AV25" s="276"/>
      <c r="AW25" s="276"/>
      <c r="AX25" s="276"/>
      <c r="AY25" s="276"/>
      <c r="AZ25" s="276"/>
      <c r="BA25" s="276"/>
      <c r="BB25" s="276"/>
      <c r="BC25" s="276"/>
      <c r="BD25" s="276"/>
      <c r="BE25" s="276"/>
      <c r="BF25" s="276"/>
      <c r="BG25" s="276"/>
      <c r="BH25" s="276"/>
      <c r="BI25" s="276"/>
      <c r="BJ25" s="276"/>
      <c r="BK25" s="276"/>
      <c r="BL25" s="276"/>
      <c r="BM25" s="276"/>
      <c r="BN25" s="276"/>
      <c r="BO25" s="276"/>
      <c r="BP25" s="276"/>
      <c r="BQ25" s="276"/>
      <c r="BR25" s="276"/>
      <c r="BS25" s="276"/>
      <c r="BT25" s="276"/>
      <c r="BU25" s="276"/>
      <c r="BV25" s="276"/>
      <c r="BW25" s="276"/>
      <c r="BX25" s="276"/>
      <c r="BY25" s="276"/>
      <c r="BZ25" s="276"/>
      <c r="CA25" s="276"/>
      <c r="CB25" s="276"/>
      <c r="CC25" s="276"/>
      <c r="CD25" s="276"/>
      <c r="CE25" s="276"/>
      <c r="CF25" s="276"/>
      <c r="CG25" s="276"/>
      <c r="CH25" s="276"/>
      <c r="CI25" s="276"/>
      <c r="CJ25" s="276"/>
      <c r="CK25" s="276"/>
      <c r="CL25" s="276"/>
      <c r="CM25" s="276"/>
      <c r="CN25" s="276"/>
      <c r="CO25" s="276"/>
      <c r="CP25" s="276"/>
      <c r="CQ25" s="276"/>
      <c r="CR25" s="276"/>
      <c r="CS25" s="276"/>
      <c r="CT25" s="276"/>
      <c r="CU25" s="276"/>
      <c r="CV25" s="276"/>
      <c r="CW25" s="276"/>
      <c r="CX25" s="276"/>
      <c r="CY25" s="276"/>
      <c r="CZ25" s="276"/>
      <c r="DA25" s="276"/>
      <c r="DB25" s="276"/>
      <c r="DC25" s="276"/>
      <c r="DD25" s="276"/>
      <c r="DE25" s="276"/>
      <c r="DF25" s="276"/>
      <c r="DG25" s="276"/>
      <c r="DH25" s="276"/>
      <c r="DI25" s="276"/>
      <c r="DJ25" s="276"/>
      <c r="DK25" s="276"/>
      <c r="DL25" s="276"/>
      <c r="DM25" s="276"/>
      <c r="DN25" s="276"/>
      <c r="DO25" s="276"/>
      <c r="DP25" s="276"/>
      <c r="DQ25" s="276"/>
      <c r="DR25" s="276"/>
      <c r="DS25" s="276"/>
      <c r="DT25" s="276"/>
      <c r="DU25" s="276"/>
      <c r="DV25" s="276"/>
      <c r="DW25" s="276"/>
      <c r="DX25" s="276"/>
      <c r="DY25" s="276"/>
      <c r="DZ25" s="276"/>
      <c r="EA25" s="276"/>
      <c r="EB25" s="276"/>
      <c r="EC25" s="276"/>
      <c r="ED25" s="276"/>
      <c r="EE25" s="276"/>
      <c r="EF25" s="276"/>
      <c r="EG25" s="276"/>
      <c r="EH25" s="276"/>
      <c r="EI25" s="276"/>
      <c r="EJ25" s="276"/>
      <c r="EK25" s="276"/>
      <c r="EL25" s="276"/>
      <c r="EM25" s="276"/>
      <c r="EN25" s="276"/>
      <c r="EO25" s="276"/>
      <c r="EP25" s="276"/>
      <c r="EQ25" s="276"/>
      <c r="ER25" s="276"/>
      <c r="ES25" s="276"/>
      <c r="ET25" s="276"/>
      <c r="EU25" s="276"/>
      <c r="EV25" s="276"/>
      <c r="EW25" s="276"/>
      <c r="EX25" s="276"/>
      <c r="EY25" s="276"/>
      <c r="EZ25" s="276"/>
      <c r="FA25" s="276"/>
      <c r="FB25" s="276"/>
      <c r="FC25" s="276"/>
      <c r="FD25" s="276"/>
      <c r="FE25" s="276"/>
      <c r="FF25" s="276"/>
      <c r="FG25" s="276"/>
      <c r="FH25" s="276"/>
      <c r="FI25" s="276"/>
      <c r="FJ25" s="276"/>
      <c r="FK25" s="276"/>
      <c r="FL25" s="276"/>
      <c r="FM25" s="276"/>
      <c r="FN25" s="276"/>
      <c r="FO25" s="276"/>
      <c r="FP25" s="276"/>
      <c r="FQ25" s="276"/>
      <c r="FR25" s="276"/>
      <c r="FS25" s="276"/>
      <c r="FT25" s="276"/>
      <c r="FU25" s="276"/>
      <c r="FV25" s="276"/>
      <c r="FW25" s="276"/>
      <c r="FX25" s="276"/>
      <c r="FY25" s="276"/>
      <c r="FZ25" s="276"/>
      <c r="GA25" s="276"/>
      <c r="GB25" s="276"/>
      <c r="GC25" s="276"/>
      <c r="GD25" s="276"/>
      <c r="GE25" s="276"/>
      <c r="GF25" s="276"/>
      <c r="GG25" s="276"/>
      <c r="GH25" s="276"/>
      <c r="GI25" s="276"/>
      <c r="GJ25" s="276"/>
      <c r="GK25" s="276"/>
      <c r="GL25" s="276"/>
      <c r="GM25" s="276"/>
      <c r="GN25" s="276"/>
      <c r="GO25" s="276"/>
      <c r="GP25" s="276"/>
      <c r="GQ25" s="276"/>
      <c r="GR25" s="276"/>
      <c r="GS25" s="276"/>
      <c r="GT25" s="276"/>
      <c r="GU25" s="276"/>
      <c r="GV25" s="276"/>
      <c r="GW25" s="276"/>
      <c r="GX25" s="276"/>
      <c r="GY25" s="276"/>
      <c r="GZ25" s="276"/>
      <c r="HA25" s="276"/>
      <c r="HB25" s="276"/>
      <c r="HC25" s="276"/>
      <c r="HD25" s="276"/>
      <c r="HE25" s="276"/>
      <c r="HF25" s="276"/>
      <c r="HG25" s="276"/>
      <c r="HH25" s="276"/>
      <c r="HI25" s="276"/>
      <c r="HJ25" s="276"/>
      <c r="HK25" s="276"/>
      <c r="HL25" s="276"/>
      <c r="HM25" s="276"/>
      <c r="HN25" s="276"/>
      <c r="HO25" s="276"/>
      <c r="HP25" s="276"/>
      <c r="HQ25" s="276"/>
      <c r="HR25" s="276"/>
      <c r="HS25" s="276"/>
      <c r="HT25" s="276"/>
      <c r="HU25" s="276"/>
      <c r="HV25" s="276"/>
      <c r="HW25" s="276"/>
      <c r="HX25" s="276"/>
      <c r="HY25" s="276"/>
      <c r="HZ25" s="276"/>
      <c r="IA25" s="276"/>
      <c r="IB25" s="276"/>
      <c r="IC25" s="276"/>
      <c r="ID25" s="276"/>
      <c r="IE25" s="276"/>
      <c r="IF25" s="276"/>
      <c r="IG25" s="276"/>
      <c r="IH25" s="276"/>
      <c r="II25" s="276"/>
      <c r="IJ25" s="276"/>
      <c r="IK25" s="276"/>
      <c r="IL25" s="276"/>
      <c r="IM25" s="276"/>
      <c r="IN25" s="276"/>
      <c r="IO25" s="276"/>
      <c r="IP25" s="276"/>
      <c r="IQ25" s="276"/>
      <c r="IR25" s="276"/>
      <c r="IS25" s="276"/>
      <c r="IT25" s="276"/>
      <c r="IU25" s="276"/>
      <c r="IV25" s="276"/>
    </row>
    <row r="26" spans="1:256" x14ac:dyDescent="0.25">
      <c r="A26" s="433"/>
      <c r="B26" s="434"/>
      <c r="C26" s="426"/>
      <c r="D26" s="434"/>
      <c r="E26" s="426"/>
      <c r="F26" s="434"/>
      <c r="G26" s="435"/>
      <c r="H26" s="434"/>
      <c r="I26" s="426"/>
      <c r="J26" s="434"/>
      <c r="K26" s="426"/>
      <c r="L26" s="434"/>
      <c r="M26" s="435"/>
      <c r="N26" s="434"/>
      <c r="O26" s="426"/>
      <c r="P26" s="434"/>
      <c r="Q26" s="426"/>
      <c r="R26" s="434"/>
      <c r="S26" s="436"/>
      <c r="T26" s="276"/>
      <c r="U26" s="276"/>
      <c r="V26" s="276"/>
      <c r="W26" s="276"/>
      <c r="X26" s="276"/>
      <c r="Y26" s="276"/>
      <c r="Z26" s="276"/>
      <c r="AA26" s="276"/>
      <c r="AB26" s="276"/>
      <c r="AC26" s="276"/>
      <c r="AD26" s="276"/>
      <c r="AE26" s="276"/>
      <c r="AF26" s="276"/>
      <c r="AG26" s="276"/>
      <c r="AH26" s="276"/>
      <c r="AI26" s="276"/>
      <c r="AJ26" s="276"/>
      <c r="AK26" s="276"/>
      <c r="AL26" s="276"/>
      <c r="AM26" s="276"/>
      <c r="AN26" s="276"/>
      <c r="AO26" s="276"/>
      <c r="AP26" s="276"/>
      <c r="AQ26" s="276"/>
      <c r="AR26" s="276"/>
      <c r="AS26" s="276"/>
      <c r="AT26" s="276"/>
      <c r="AU26" s="276"/>
      <c r="AV26" s="276"/>
      <c r="AW26" s="276"/>
      <c r="AX26" s="276"/>
      <c r="AY26" s="276"/>
      <c r="AZ26" s="276"/>
      <c r="BA26" s="276"/>
      <c r="BB26" s="276"/>
      <c r="BC26" s="276"/>
      <c r="BD26" s="276"/>
      <c r="BE26" s="276"/>
      <c r="BF26" s="276"/>
      <c r="BG26" s="276"/>
      <c r="BH26" s="276"/>
      <c r="BI26" s="276"/>
      <c r="BJ26" s="276"/>
      <c r="BK26" s="276"/>
      <c r="BL26" s="276"/>
      <c r="BM26" s="276"/>
      <c r="BN26" s="276"/>
      <c r="BO26" s="276"/>
      <c r="BP26" s="276"/>
      <c r="BQ26" s="276"/>
      <c r="BR26" s="276"/>
      <c r="BS26" s="276"/>
      <c r="BT26" s="276"/>
      <c r="BU26" s="276"/>
      <c r="BV26" s="276"/>
      <c r="BW26" s="276"/>
      <c r="BX26" s="276"/>
      <c r="BY26" s="276"/>
      <c r="BZ26" s="276"/>
      <c r="CA26" s="276"/>
      <c r="CB26" s="276"/>
      <c r="CC26" s="276"/>
      <c r="CD26" s="276"/>
      <c r="CE26" s="276"/>
      <c r="CF26" s="276"/>
      <c r="CG26" s="276"/>
      <c r="CH26" s="276"/>
      <c r="CI26" s="276"/>
      <c r="CJ26" s="276"/>
      <c r="CK26" s="276"/>
      <c r="CL26" s="276"/>
      <c r="CM26" s="276"/>
      <c r="CN26" s="276"/>
      <c r="CO26" s="276"/>
      <c r="CP26" s="276"/>
      <c r="CQ26" s="276"/>
      <c r="CR26" s="276"/>
      <c r="CS26" s="276"/>
      <c r="CT26" s="276"/>
      <c r="CU26" s="276"/>
      <c r="CV26" s="276"/>
      <c r="CW26" s="276"/>
      <c r="CX26" s="276"/>
      <c r="CY26" s="276"/>
      <c r="CZ26" s="276"/>
      <c r="DA26" s="276"/>
      <c r="DB26" s="276"/>
      <c r="DC26" s="276"/>
      <c r="DD26" s="276"/>
      <c r="DE26" s="276"/>
      <c r="DF26" s="276"/>
      <c r="DG26" s="276"/>
      <c r="DH26" s="276"/>
      <c r="DI26" s="276"/>
      <c r="DJ26" s="276"/>
      <c r="DK26" s="276"/>
      <c r="DL26" s="276"/>
      <c r="DM26" s="276"/>
      <c r="DN26" s="276"/>
      <c r="DO26" s="276"/>
      <c r="DP26" s="276"/>
      <c r="DQ26" s="276"/>
      <c r="DR26" s="276"/>
      <c r="DS26" s="276"/>
      <c r="DT26" s="276"/>
      <c r="DU26" s="276"/>
      <c r="DV26" s="276"/>
      <c r="DW26" s="276"/>
      <c r="DX26" s="276"/>
      <c r="DY26" s="276"/>
      <c r="DZ26" s="276"/>
      <c r="EA26" s="276"/>
      <c r="EB26" s="276"/>
      <c r="EC26" s="276"/>
      <c r="ED26" s="276"/>
      <c r="EE26" s="276"/>
      <c r="EF26" s="276"/>
      <c r="EG26" s="276"/>
      <c r="EH26" s="276"/>
      <c r="EI26" s="276"/>
      <c r="EJ26" s="276"/>
      <c r="EK26" s="276"/>
      <c r="EL26" s="276"/>
      <c r="EM26" s="276"/>
      <c r="EN26" s="276"/>
      <c r="EO26" s="276"/>
      <c r="EP26" s="276"/>
      <c r="EQ26" s="276"/>
      <c r="ER26" s="276"/>
      <c r="ES26" s="276"/>
      <c r="ET26" s="276"/>
      <c r="EU26" s="276"/>
      <c r="EV26" s="276"/>
      <c r="EW26" s="276"/>
      <c r="EX26" s="276"/>
      <c r="EY26" s="276"/>
      <c r="EZ26" s="276"/>
      <c r="FA26" s="276"/>
      <c r="FB26" s="276"/>
      <c r="FC26" s="276"/>
      <c r="FD26" s="276"/>
      <c r="FE26" s="276"/>
      <c r="FF26" s="276"/>
      <c r="FG26" s="276"/>
      <c r="FH26" s="276"/>
      <c r="FI26" s="276"/>
      <c r="FJ26" s="276"/>
      <c r="FK26" s="276"/>
      <c r="FL26" s="276"/>
      <c r="FM26" s="276"/>
      <c r="FN26" s="276"/>
      <c r="FO26" s="276"/>
      <c r="FP26" s="276"/>
      <c r="FQ26" s="276"/>
      <c r="FR26" s="276"/>
      <c r="FS26" s="276"/>
      <c r="FT26" s="276"/>
      <c r="FU26" s="276"/>
      <c r="FV26" s="276"/>
      <c r="FW26" s="276"/>
      <c r="FX26" s="276"/>
      <c r="FY26" s="276"/>
      <c r="FZ26" s="276"/>
      <c r="GA26" s="276"/>
      <c r="GB26" s="276"/>
      <c r="GC26" s="276"/>
      <c r="GD26" s="276"/>
      <c r="GE26" s="276"/>
      <c r="GF26" s="276"/>
      <c r="GG26" s="276"/>
      <c r="GH26" s="276"/>
      <c r="GI26" s="276"/>
      <c r="GJ26" s="276"/>
      <c r="GK26" s="276"/>
      <c r="GL26" s="276"/>
      <c r="GM26" s="276"/>
      <c r="GN26" s="276"/>
      <c r="GO26" s="276"/>
      <c r="GP26" s="276"/>
      <c r="GQ26" s="276"/>
      <c r="GR26" s="276"/>
      <c r="GS26" s="276"/>
      <c r="GT26" s="276"/>
      <c r="GU26" s="276"/>
      <c r="GV26" s="276"/>
      <c r="GW26" s="276"/>
      <c r="GX26" s="276"/>
      <c r="GY26" s="276"/>
      <c r="GZ26" s="276"/>
      <c r="HA26" s="276"/>
      <c r="HB26" s="276"/>
      <c r="HC26" s="276"/>
      <c r="HD26" s="276"/>
      <c r="HE26" s="276"/>
      <c r="HF26" s="276"/>
      <c r="HG26" s="276"/>
      <c r="HH26" s="276"/>
      <c r="HI26" s="276"/>
      <c r="HJ26" s="276"/>
      <c r="HK26" s="276"/>
      <c r="HL26" s="276"/>
      <c r="HM26" s="276"/>
      <c r="HN26" s="276"/>
      <c r="HO26" s="276"/>
      <c r="HP26" s="276"/>
      <c r="HQ26" s="276"/>
      <c r="HR26" s="276"/>
      <c r="HS26" s="276"/>
      <c r="HT26" s="276"/>
      <c r="HU26" s="276"/>
      <c r="HV26" s="276"/>
      <c r="HW26" s="276"/>
      <c r="HX26" s="276"/>
      <c r="HY26" s="276"/>
      <c r="HZ26" s="276"/>
      <c r="IA26" s="276"/>
      <c r="IB26" s="276"/>
      <c r="IC26" s="276"/>
      <c r="ID26" s="276"/>
      <c r="IE26" s="276"/>
      <c r="IF26" s="276"/>
      <c r="IG26" s="276"/>
      <c r="IH26" s="276"/>
      <c r="II26" s="276"/>
      <c r="IJ26" s="276"/>
      <c r="IK26" s="276"/>
      <c r="IL26" s="276"/>
      <c r="IM26" s="276"/>
      <c r="IN26" s="276"/>
      <c r="IO26" s="276"/>
      <c r="IP26" s="276"/>
      <c r="IQ26" s="276"/>
      <c r="IR26" s="276"/>
      <c r="IS26" s="276"/>
      <c r="IT26" s="276"/>
      <c r="IU26" s="276"/>
      <c r="IV26" s="276"/>
    </row>
    <row r="27" spans="1:256" x14ac:dyDescent="0.25">
      <c r="A27" s="296">
        <f>+A25+1</f>
        <v>2009</v>
      </c>
      <c r="B27" s="297">
        <v>2212</v>
      </c>
      <c r="C27" s="298">
        <f>B27/R27</f>
        <v>0.89337641357027464</v>
      </c>
      <c r="D27" s="297">
        <v>88</v>
      </c>
      <c r="E27" s="298">
        <f>D27/R27</f>
        <v>3.5541195476575124E-2</v>
      </c>
      <c r="F27" s="297">
        <f>B27+D27</f>
        <v>2300</v>
      </c>
      <c r="G27" s="299">
        <f>F27/R27</f>
        <v>0.92891760904684972</v>
      </c>
      <c r="H27" s="297">
        <v>170</v>
      </c>
      <c r="I27" s="298">
        <f>+H27/R27</f>
        <v>6.8659127625201932E-2</v>
      </c>
      <c r="J27" s="297">
        <v>6</v>
      </c>
      <c r="K27" s="298">
        <f>J27/R27</f>
        <v>2.4232633279483036E-3</v>
      </c>
      <c r="L27" s="297">
        <f>H27+J27</f>
        <v>176</v>
      </c>
      <c r="M27" s="299">
        <f>L27/R27</f>
        <v>7.1082390953150248E-2</v>
      </c>
      <c r="N27" s="297">
        <f>B27+H27</f>
        <v>2382</v>
      </c>
      <c r="O27" s="298">
        <f>N27/R27</f>
        <v>0.96203554119547663</v>
      </c>
      <c r="P27" s="297">
        <f>D27+J27</f>
        <v>94</v>
      </c>
      <c r="Q27" s="298">
        <f>P27/R27</f>
        <v>3.7964458804523427E-2</v>
      </c>
      <c r="R27" s="297">
        <f>N27+P27</f>
        <v>2476</v>
      </c>
      <c r="S27" s="300">
        <f>SUM(G27,M27)</f>
        <v>1</v>
      </c>
      <c r="T27" s="276"/>
      <c r="U27" s="276"/>
      <c r="V27" s="276"/>
      <c r="W27" s="276"/>
      <c r="X27" s="276"/>
      <c r="Y27" s="276"/>
      <c r="Z27" s="276"/>
      <c r="AA27" s="276"/>
      <c r="AB27" s="276"/>
      <c r="AC27" s="276"/>
      <c r="AD27" s="276"/>
      <c r="AE27" s="276"/>
      <c r="AF27" s="276"/>
      <c r="AG27" s="276"/>
      <c r="AH27" s="276"/>
      <c r="AI27" s="276"/>
      <c r="AJ27" s="276"/>
      <c r="AK27" s="276"/>
      <c r="AL27" s="276"/>
      <c r="AM27" s="276"/>
      <c r="AN27" s="276"/>
      <c r="AO27" s="276"/>
      <c r="AP27" s="276"/>
      <c r="AQ27" s="276"/>
      <c r="AR27" s="276"/>
      <c r="AS27" s="276"/>
      <c r="AT27" s="276"/>
      <c r="AU27" s="276"/>
      <c r="AV27" s="276"/>
      <c r="AW27" s="276"/>
      <c r="AX27" s="276"/>
      <c r="AY27" s="276"/>
      <c r="AZ27" s="276"/>
      <c r="BA27" s="276"/>
      <c r="BB27" s="276"/>
      <c r="BC27" s="276"/>
      <c r="BD27" s="276"/>
      <c r="BE27" s="276"/>
      <c r="BF27" s="276"/>
      <c r="BG27" s="276"/>
      <c r="BH27" s="276"/>
      <c r="BI27" s="276"/>
      <c r="BJ27" s="276"/>
      <c r="BK27" s="276"/>
      <c r="BL27" s="276"/>
      <c r="BM27" s="276"/>
      <c r="BN27" s="276"/>
      <c r="BO27" s="276"/>
      <c r="BP27" s="276"/>
      <c r="BQ27" s="276"/>
      <c r="BR27" s="276"/>
      <c r="BS27" s="276"/>
      <c r="BT27" s="276"/>
      <c r="BU27" s="276"/>
      <c r="BV27" s="276"/>
      <c r="BW27" s="276"/>
      <c r="BX27" s="276"/>
      <c r="BY27" s="276"/>
      <c r="BZ27" s="276"/>
      <c r="CA27" s="276"/>
      <c r="CB27" s="276"/>
      <c r="CC27" s="276"/>
      <c r="CD27" s="276"/>
      <c r="CE27" s="276"/>
      <c r="CF27" s="276"/>
      <c r="CG27" s="276"/>
      <c r="CH27" s="276"/>
      <c r="CI27" s="276"/>
      <c r="CJ27" s="276"/>
      <c r="CK27" s="276"/>
      <c r="CL27" s="276"/>
      <c r="CM27" s="276"/>
      <c r="CN27" s="276"/>
      <c r="CO27" s="276"/>
      <c r="CP27" s="276"/>
      <c r="CQ27" s="276"/>
      <c r="CR27" s="276"/>
      <c r="CS27" s="276"/>
      <c r="CT27" s="276"/>
      <c r="CU27" s="276"/>
      <c r="CV27" s="276"/>
      <c r="CW27" s="276"/>
      <c r="CX27" s="276"/>
      <c r="CY27" s="276"/>
      <c r="CZ27" s="276"/>
      <c r="DA27" s="276"/>
      <c r="DB27" s="276"/>
      <c r="DC27" s="276"/>
      <c r="DD27" s="276"/>
      <c r="DE27" s="276"/>
      <c r="DF27" s="276"/>
      <c r="DG27" s="276"/>
      <c r="DH27" s="276"/>
      <c r="DI27" s="276"/>
      <c r="DJ27" s="276"/>
      <c r="DK27" s="276"/>
      <c r="DL27" s="276"/>
      <c r="DM27" s="276"/>
      <c r="DN27" s="276"/>
      <c r="DO27" s="276"/>
      <c r="DP27" s="276"/>
      <c r="DQ27" s="276"/>
      <c r="DR27" s="276"/>
      <c r="DS27" s="276"/>
      <c r="DT27" s="276"/>
      <c r="DU27" s="276"/>
      <c r="DV27" s="276"/>
      <c r="DW27" s="276"/>
      <c r="DX27" s="276"/>
      <c r="DY27" s="276"/>
      <c r="DZ27" s="276"/>
      <c r="EA27" s="276"/>
      <c r="EB27" s="276"/>
      <c r="EC27" s="276"/>
      <c r="ED27" s="276"/>
      <c r="EE27" s="276"/>
      <c r="EF27" s="276"/>
      <c r="EG27" s="276"/>
      <c r="EH27" s="276"/>
      <c r="EI27" s="276"/>
      <c r="EJ27" s="276"/>
      <c r="EK27" s="276"/>
      <c r="EL27" s="276"/>
      <c r="EM27" s="276"/>
      <c r="EN27" s="276"/>
      <c r="EO27" s="276"/>
      <c r="EP27" s="276"/>
      <c r="EQ27" s="276"/>
      <c r="ER27" s="276"/>
      <c r="ES27" s="276"/>
      <c r="ET27" s="276"/>
      <c r="EU27" s="276"/>
      <c r="EV27" s="276"/>
      <c r="EW27" s="276"/>
      <c r="EX27" s="276"/>
      <c r="EY27" s="276"/>
      <c r="EZ27" s="276"/>
      <c r="FA27" s="276"/>
      <c r="FB27" s="276"/>
      <c r="FC27" s="276"/>
      <c r="FD27" s="276"/>
      <c r="FE27" s="276"/>
      <c r="FF27" s="276"/>
      <c r="FG27" s="276"/>
      <c r="FH27" s="276"/>
      <c r="FI27" s="276"/>
      <c r="FJ27" s="276"/>
      <c r="FK27" s="276"/>
      <c r="FL27" s="276"/>
      <c r="FM27" s="276"/>
      <c r="FN27" s="276"/>
      <c r="FO27" s="276"/>
      <c r="FP27" s="276"/>
      <c r="FQ27" s="276"/>
      <c r="FR27" s="276"/>
      <c r="FS27" s="276"/>
      <c r="FT27" s="276"/>
      <c r="FU27" s="276"/>
      <c r="FV27" s="276"/>
      <c r="FW27" s="276"/>
      <c r="FX27" s="276"/>
      <c r="FY27" s="276"/>
      <c r="FZ27" s="276"/>
      <c r="GA27" s="276"/>
      <c r="GB27" s="276"/>
      <c r="GC27" s="276"/>
      <c r="GD27" s="276"/>
      <c r="GE27" s="276"/>
      <c r="GF27" s="276"/>
      <c r="GG27" s="276"/>
      <c r="GH27" s="276"/>
      <c r="GI27" s="276"/>
      <c r="GJ27" s="276"/>
      <c r="GK27" s="276"/>
      <c r="GL27" s="276"/>
      <c r="GM27" s="276"/>
      <c r="GN27" s="276"/>
      <c r="GO27" s="276"/>
      <c r="GP27" s="276"/>
      <c r="GQ27" s="276"/>
      <c r="GR27" s="276"/>
      <c r="GS27" s="276"/>
      <c r="GT27" s="276"/>
      <c r="GU27" s="276"/>
      <c r="GV27" s="276"/>
      <c r="GW27" s="276"/>
      <c r="GX27" s="276"/>
      <c r="GY27" s="276"/>
      <c r="GZ27" s="276"/>
      <c r="HA27" s="276"/>
      <c r="HB27" s="276"/>
      <c r="HC27" s="276"/>
      <c r="HD27" s="276"/>
      <c r="HE27" s="276"/>
      <c r="HF27" s="276"/>
      <c r="HG27" s="276"/>
      <c r="HH27" s="276"/>
      <c r="HI27" s="276"/>
      <c r="HJ27" s="276"/>
      <c r="HK27" s="276"/>
      <c r="HL27" s="276"/>
      <c r="HM27" s="276"/>
      <c r="HN27" s="276"/>
      <c r="HO27" s="276"/>
      <c r="HP27" s="276"/>
      <c r="HQ27" s="276"/>
      <c r="HR27" s="276"/>
      <c r="HS27" s="276"/>
      <c r="HT27" s="276"/>
      <c r="HU27" s="276"/>
      <c r="HV27" s="276"/>
      <c r="HW27" s="276"/>
      <c r="HX27" s="276"/>
      <c r="HY27" s="276"/>
      <c r="HZ27" s="276"/>
      <c r="IA27" s="276"/>
      <c r="IB27" s="276"/>
      <c r="IC27" s="276"/>
      <c r="ID27" s="276"/>
      <c r="IE27" s="276"/>
      <c r="IF27" s="276"/>
      <c r="IG27" s="276"/>
      <c r="IH27" s="276"/>
      <c r="II27" s="276"/>
      <c r="IJ27" s="276"/>
      <c r="IK27" s="276"/>
      <c r="IL27" s="276"/>
      <c r="IM27" s="276"/>
      <c r="IN27" s="276"/>
      <c r="IO27" s="276"/>
      <c r="IP27" s="276"/>
      <c r="IQ27" s="276"/>
      <c r="IR27" s="276"/>
      <c r="IS27" s="276"/>
      <c r="IT27" s="276"/>
      <c r="IU27" s="276"/>
      <c r="IV27" s="276"/>
    </row>
    <row r="28" spans="1:256" x14ac:dyDescent="0.25">
      <c r="A28" s="433"/>
      <c r="B28" s="434"/>
      <c r="C28" s="426"/>
      <c r="D28" s="434"/>
      <c r="E28" s="426"/>
      <c r="F28" s="434"/>
      <c r="G28" s="435"/>
      <c r="H28" s="434"/>
      <c r="I28" s="426"/>
      <c r="J28" s="434"/>
      <c r="K28" s="426"/>
      <c r="L28" s="434"/>
      <c r="M28" s="435"/>
      <c r="N28" s="434"/>
      <c r="O28" s="426"/>
      <c r="P28" s="434"/>
      <c r="Q28" s="426"/>
      <c r="R28" s="434"/>
      <c r="S28" s="436"/>
      <c r="T28" s="276"/>
      <c r="U28" s="276"/>
      <c r="V28" s="276"/>
      <c r="W28" s="276"/>
      <c r="X28" s="276"/>
      <c r="Y28" s="276"/>
      <c r="Z28" s="276"/>
      <c r="AA28" s="276"/>
      <c r="AB28" s="276"/>
      <c r="AC28" s="276"/>
      <c r="AD28" s="276"/>
      <c r="AE28" s="276"/>
      <c r="AF28" s="276"/>
      <c r="AG28" s="276"/>
      <c r="AH28" s="276"/>
      <c r="AI28" s="276"/>
      <c r="AJ28" s="276"/>
      <c r="AK28" s="276"/>
      <c r="AL28" s="276"/>
      <c r="AM28" s="276"/>
      <c r="AN28" s="276"/>
      <c r="AO28" s="276"/>
      <c r="AP28" s="276"/>
      <c r="AQ28" s="276"/>
      <c r="AR28" s="276"/>
      <c r="AS28" s="276"/>
      <c r="AT28" s="276"/>
      <c r="AU28" s="276"/>
      <c r="AV28" s="276"/>
      <c r="AW28" s="276"/>
      <c r="AX28" s="276"/>
      <c r="AY28" s="276"/>
      <c r="AZ28" s="276"/>
      <c r="BA28" s="276"/>
      <c r="BB28" s="276"/>
      <c r="BC28" s="276"/>
      <c r="BD28" s="276"/>
      <c r="BE28" s="276"/>
      <c r="BF28" s="276"/>
      <c r="BG28" s="276"/>
      <c r="BH28" s="276"/>
      <c r="BI28" s="276"/>
      <c r="BJ28" s="276"/>
      <c r="BK28" s="276"/>
      <c r="BL28" s="276"/>
      <c r="BM28" s="276"/>
      <c r="BN28" s="276"/>
      <c r="BO28" s="276"/>
      <c r="BP28" s="276"/>
      <c r="BQ28" s="276"/>
      <c r="BR28" s="276"/>
      <c r="BS28" s="276"/>
      <c r="BT28" s="276"/>
      <c r="BU28" s="276"/>
      <c r="BV28" s="276"/>
      <c r="BW28" s="276"/>
      <c r="BX28" s="276"/>
      <c r="BY28" s="276"/>
      <c r="BZ28" s="276"/>
      <c r="CA28" s="276"/>
      <c r="CB28" s="276"/>
      <c r="CC28" s="276"/>
      <c r="CD28" s="276"/>
      <c r="CE28" s="276"/>
      <c r="CF28" s="276"/>
      <c r="CG28" s="276"/>
      <c r="CH28" s="276"/>
      <c r="CI28" s="276"/>
      <c r="CJ28" s="276"/>
      <c r="CK28" s="276"/>
      <c r="CL28" s="276"/>
      <c r="CM28" s="276"/>
      <c r="CN28" s="276"/>
      <c r="CO28" s="276"/>
      <c r="CP28" s="276"/>
      <c r="CQ28" s="276"/>
      <c r="CR28" s="276"/>
      <c r="CS28" s="276"/>
      <c r="CT28" s="276"/>
      <c r="CU28" s="276"/>
      <c r="CV28" s="276"/>
      <c r="CW28" s="276"/>
      <c r="CX28" s="276"/>
      <c r="CY28" s="276"/>
      <c r="CZ28" s="276"/>
      <c r="DA28" s="276"/>
      <c r="DB28" s="276"/>
      <c r="DC28" s="276"/>
      <c r="DD28" s="276"/>
      <c r="DE28" s="276"/>
      <c r="DF28" s="276"/>
      <c r="DG28" s="276"/>
      <c r="DH28" s="276"/>
      <c r="DI28" s="276"/>
      <c r="DJ28" s="276"/>
      <c r="DK28" s="276"/>
      <c r="DL28" s="276"/>
      <c r="DM28" s="276"/>
      <c r="DN28" s="276"/>
      <c r="DO28" s="276"/>
      <c r="DP28" s="276"/>
      <c r="DQ28" s="276"/>
      <c r="DR28" s="276"/>
      <c r="DS28" s="276"/>
      <c r="DT28" s="276"/>
      <c r="DU28" s="276"/>
      <c r="DV28" s="276"/>
      <c r="DW28" s="276"/>
      <c r="DX28" s="276"/>
      <c r="DY28" s="276"/>
      <c r="DZ28" s="276"/>
      <c r="EA28" s="276"/>
      <c r="EB28" s="276"/>
      <c r="EC28" s="276"/>
      <c r="ED28" s="276"/>
      <c r="EE28" s="276"/>
      <c r="EF28" s="276"/>
      <c r="EG28" s="276"/>
      <c r="EH28" s="276"/>
      <c r="EI28" s="276"/>
      <c r="EJ28" s="276"/>
      <c r="EK28" s="276"/>
      <c r="EL28" s="276"/>
      <c r="EM28" s="276"/>
      <c r="EN28" s="276"/>
      <c r="EO28" s="276"/>
      <c r="EP28" s="276"/>
      <c r="EQ28" s="276"/>
      <c r="ER28" s="276"/>
      <c r="ES28" s="276"/>
      <c r="ET28" s="276"/>
      <c r="EU28" s="276"/>
      <c r="EV28" s="276"/>
      <c r="EW28" s="276"/>
      <c r="EX28" s="276"/>
      <c r="EY28" s="276"/>
      <c r="EZ28" s="276"/>
      <c r="FA28" s="276"/>
      <c r="FB28" s="276"/>
      <c r="FC28" s="276"/>
      <c r="FD28" s="276"/>
      <c r="FE28" s="276"/>
      <c r="FF28" s="276"/>
      <c r="FG28" s="276"/>
      <c r="FH28" s="276"/>
      <c r="FI28" s="276"/>
      <c r="FJ28" s="276"/>
      <c r="FK28" s="276"/>
      <c r="FL28" s="276"/>
      <c r="FM28" s="276"/>
      <c r="FN28" s="276"/>
      <c r="FO28" s="276"/>
      <c r="FP28" s="276"/>
      <c r="FQ28" s="276"/>
      <c r="FR28" s="276"/>
      <c r="FS28" s="276"/>
      <c r="FT28" s="276"/>
      <c r="FU28" s="276"/>
      <c r="FV28" s="276"/>
      <c r="FW28" s="276"/>
      <c r="FX28" s="276"/>
      <c r="FY28" s="276"/>
      <c r="FZ28" s="276"/>
      <c r="GA28" s="276"/>
      <c r="GB28" s="276"/>
      <c r="GC28" s="276"/>
      <c r="GD28" s="276"/>
      <c r="GE28" s="276"/>
      <c r="GF28" s="276"/>
      <c r="GG28" s="276"/>
      <c r="GH28" s="276"/>
      <c r="GI28" s="276"/>
      <c r="GJ28" s="276"/>
      <c r="GK28" s="276"/>
      <c r="GL28" s="276"/>
      <c r="GM28" s="276"/>
      <c r="GN28" s="276"/>
      <c r="GO28" s="276"/>
      <c r="GP28" s="276"/>
      <c r="GQ28" s="276"/>
      <c r="GR28" s="276"/>
      <c r="GS28" s="276"/>
      <c r="GT28" s="276"/>
      <c r="GU28" s="276"/>
      <c r="GV28" s="276"/>
      <c r="GW28" s="276"/>
      <c r="GX28" s="276"/>
      <c r="GY28" s="276"/>
      <c r="GZ28" s="276"/>
      <c r="HA28" s="276"/>
      <c r="HB28" s="276"/>
      <c r="HC28" s="276"/>
      <c r="HD28" s="276"/>
      <c r="HE28" s="276"/>
      <c r="HF28" s="276"/>
      <c r="HG28" s="276"/>
      <c r="HH28" s="276"/>
      <c r="HI28" s="276"/>
      <c r="HJ28" s="276"/>
      <c r="HK28" s="276"/>
      <c r="HL28" s="276"/>
      <c r="HM28" s="276"/>
      <c r="HN28" s="276"/>
      <c r="HO28" s="276"/>
      <c r="HP28" s="276"/>
      <c r="HQ28" s="276"/>
      <c r="HR28" s="276"/>
      <c r="HS28" s="276"/>
      <c r="HT28" s="276"/>
      <c r="HU28" s="276"/>
      <c r="HV28" s="276"/>
      <c r="HW28" s="276"/>
      <c r="HX28" s="276"/>
      <c r="HY28" s="276"/>
      <c r="HZ28" s="276"/>
      <c r="IA28" s="276"/>
      <c r="IB28" s="276"/>
      <c r="IC28" s="276"/>
      <c r="ID28" s="276"/>
      <c r="IE28" s="276"/>
      <c r="IF28" s="276"/>
      <c r="IG28" s="276"/>
      <c r="IH28" s="276"/>
      <c r="II28" s="276"/>
      <c r="IJ28" s="276"/>
      <c r="IK28" s="276"/>
      <c r="IL28" s="276"/>
      <c r="IM28" s="276"/>
      <c r="IN28" s="276"/>
      <c r="IO28" s="276"/>
      <c r="IP28" s="276"/>
      <c r="IQ28" s="276"/>
      <c r="IR28" s="276"/>
      <c r="IS28" s="276"/>
      <c r="IT28" s="276"/>
      <c r="IU28" s="276"/>
      <c r="IV28" s="276"/>
    </row>
    <row r="29" spans="1:256" x14ac:dyDescent="0.25">
      <c r="A29" s="296">
        <f>+A27+1</f>
        <v>2010</v>
      </c>
      <c r="B29" s="297">
        <v>2418</v>
      </c>
      <c r="C29" s="298">
        <f>B29/R29</f>
        <v>0.89855072463768115</v>
      </c>
      <c r="D29" s="297">
        <v>66</v>
      </c>
      <c r="E29" s="298">
        <f>D29/R29</f>
        <v>2.4526198439241916E-2</v>
      </c>
      <c r="F29" s="297">
        <f>B29+D29</f>
        <v>2484</v>
      </c>
      <c r="G29" s="299">
        <f>F29/R29</f>
        <v>0.92307692307692313</v>
      </c>
      <c r="H29" s="297">
        <v>203</v>
      </c>
      <c r="I29" s="298">
        <f>+H29/R29</f>
        <v>7.5436640654031953E-2</v>
      </c>
      <c r="J29" s="297">
        <v>4</v>
      </c>
      <c r="K29" s="298">
        <f>J29/R29</f>
        <v>1.4864362690449647E-3</v>
      </c>
      <c r="L29" s="297">
        <f>H29+J29</f>
        <v>207</v>
      </c>
      <c r="M29" s="299">
        <f>L29/R29</f>
        <v>7.6923076923076927E-2</v>
      </c>
      <c r="N29" s="297">
        <f>B29+H29</f>
        <v>2621</v>
      </c>
      <c r="O29" s="298">
        <f>N29/R29</f>
        <v>0.97398736529171315</v>
      </c>
      <c r="P29" s="297">
        <f>D29+J29</f>
        <v>70</v>
      </c>
      <c r="Q29" s="298">
        <f>P29/R29</f>
        <v>2.6012634708286884E-2</v>
      </c>
      <c r="R29" s="297">
        <f>N29+P29</f>
        <v>2691</v>
      </c>
      <c r="S29" s="300">
        <f>SUM(G29,M29)</f>
        <v>1</v>
      </c>
      <c r="T29" s="276"/>
      <c r="U29" s="276"/>
      <c r="V29" s="276"/>
      <c r="W29" s="276"/>
      <c r="X29" s="276"/>
      <c r="Y29" s="276"/>
      <c r="Z29" s="276"/>
      <c r="AA29" s="276"/>
      <c r="AB29" s="276"/>
      <c r="AC29" s="276"/>
      <c r="AD29" s="276"/>
      <c r="AE29" s="276"/>
      <c r="AF29" s="276"/>
      <c r="AG29" s="276"/>
      <c r="AH29" s="276"/>
      <c r="AI29" s="276"/>
      <c r="AJ29" s="276"/>
      <c r="AK29" s="276"/>
      <c r="AL29" s="276"/>
      <c r="AM29" s="276"/>
      <c r="AN29" s="276"/>
      <c r="AO29" s="276"/>
      <c r="AP29" s="276"/>
      <c r="AQ29" s="276"/>
      <c r="AR29" s="276"/>
      <c r="AS29" s="276"/>
      <c r="AT29" s="276"/>
      <c r="AU29" s="276"/>
      <c r="AV29" s="276"/>
      <c r="AW29" s="276"/>
      <c r="AX29" s="276"/>
      <c r="AY29" s="276"/>
      <c r="AZ29" s="276"/>
      <c r="BA29" s="276"/>
      <c r="BB29" s="276"/>
      <c r="BC29" s="276"/>
      <c r="BD29" s="276"/>
      <c r="BE29" s="276"/>
      <c r="BF29" s="276"/>
      <c r="BG29" s="276"/>
      <c r="BH29" s="276"/>
      <c r="BI29" s="276"/>
      <c r="BJ29" s="276"/>
      <c r="BK29" s="276"/>
      <c r="BL29" s="276"/>
      <c r="BM29" s="276"/>
      <c r="BN29" s="276"/>
      <c r="BO29" s="276"/>
      <c r="BP29" s="276"/>
      <c r="BQ29" s="276"/>
      <c r="BR29" s="276"/>
      <c r="BS29" s="276"/>
      <c r="BT29" s="276"/>
      <c r="BU29" s="276"/>
      <c r="BV29" s="276"/>
      <c r="BW29" s="276"/>
      <c r="BX29" s="276"/>
      <c r="BY29" s="276"/>
      <c r="BZ29" s="276"/>
      <c r="CA29" s="276"/>
      <c r="CB29" s="276"/>
      <c r="CC29" s="276"/>
      <c r="CD29" s="276"/>
      <c r="CE29" s="276"/>
      <c r="CF29" s="276"/>
      <c r="CG29" s="276"/>
      <c r="CH29" s="276"/>
      <c r="CI29" s="276"/>
      <c r="CJ29" s="276"/>
      <c r="CK29" s="276"/>
      <c r="CL29" s="276"/>
      <c r="CM29" s="276"/>
      <c r="CN29" s="276"/>
      <c r="CO29" s="276"/>
      <c r="CP29" s="276"/>
      <c r="CQ29" s="276"/>
      <c r="CR29" s="276"/>
      <c r="CS29" s="276"/>
      <c r="CT29" s="276"/>
      <c r="CU29" s="276"/>
      <c r="CV29" s="276"/>
      <c r="CW29" s="276"/>
      <c r="CX29" s="276"/>
      <c r="CY29" s="276"/>
      <c r="CZ29" s="276"/>
      <c r="DA29" s="276"/>
      <c r="DB29" s="276"/>
      <c r="DC29" s="276"/>
      <c r="DD29" s="276"/>
      <c r="DE29" s="276"/>
      <c r="DF29" s="276"/>
      <c r="DG29" s="276"/>
      <c r="DH29" s="276"/>
      <c r="DI29" s="276"/>
      <c r="DJ29" s="276"/>
      <c r="DK29" s="276"/>
      <c r="DL29" s="276"/>
      <c r="DM29" s="276"/>
      <c r="DN29" s="276"/>
      <c r="DO29" s="276"/>
      <c r="DP29" s="276"/>
      <c r="DQ29" s="276"/>
      <c r="DR29" s="276"/>
      <c r="DS29" s="276"/>
      <c r="DT29" s="276"/>
      <c r="DU29" s="276"/>
      <c r="DV29" s="276"/>
      <c r="DW29" s="276"/>
      <c r="DX29" s="276"/>
      <c r="DY29" s="276"/>
      <c r="DZ29" s="276"/>
      <c r="EA29" s="276"/>
      <c r="EB29" s="276"/>
      <c r="EC29" s="276"/>
      <c r="ED29" s="276"/>
      <c r="EE29" s="276"/>
      <c r="EF29" s="276"/>
      <c r="EG29" s="276"/>
      <c r="EH29" s="276"/>
      <c r="EI29" s="276"/>
      <c r="EJ29" s="276"/>
      <c r="EK29" s="276"/>
      <c r="EL29" s="276"/>
      <c r="EM29" s="276"/>
      <c r="EN29" s="276"/>
      <c r="EO29" s="276"/>
      <c r="EP29" s="276"/>
      <c r="EQ29" s="276"/>
      <c r="ER29" s="276"/>
      <c r="ES29" s="276"/>
      <c r="ET29" s="276"/>
      <c r="EU29" s="276"/>
      <c r="EV29" s="276"/>
      <c r="EW29" s="276"/>
      <c r="EX29" s="276"/>
      <c r="EY29" s="276"/>
      <c r="EZ29" s="276"/>
      <c r="FA29" s="276"/>
      <c r="FB29" s="276"/>
      <c r="FC29" s="276"/>
      <c r="FD29" s="276"/>
      <c r="FE29" s="276"/>
      <c r="FF29" s="276"/>
      <c r="FG29" s="276"/>
      <c r="FH29" s="276"/>
      <c r="FI29" s="276"/>
      <c r="FJ29" s="276"/>
      <c r="FK29" s="276"/>
      <c r="FL29" s="276"/>
      <c r="FM29" s="276"/>
      <c r="FN29" s="276"/>
      <c r="FO29" s="276"/>
      <c r="FP29" s="276"/>
      <c r="FQ29" s="276"/>
      <c r="FR29" s="276"/>
      <c r="FS29" s="276"/>
      <c r="FT29" s="276"/>
      <c r="FU29" s="276"/>
      <c r="FV29" s="276"/>
      <c r="FW29" s="276"/>
      <c r="FX29" s="276"/>
      <c r="FY29" s="276"/>
      <c r="FZ29" s="276"/>
      <c r="GA29" s="276"/>
      <c r="GB29" s="276"/>
      <c r="GC29" s="276"/>
      <c r="GD29" s="276"/>
      <c r="GE29" s="276"/>
      <c r="GF29" s="276"/>
      <c r="GG29" s="276"/>
      <c r="GH29" s="276"/>
      <c r="GI29" s="276"/>
      <c r="GJ29" s="276"/>
      <c r="GK29" s="276"/>
      <c r="GL29" s="276"/>
      <c r="GM29" s="276"/>
      <c r="GN29" s="276"/>
      <c r="GO29" s="276"/>
      <c r="GP29" s="276"/>
      <c r="GQ29" s="276"/>
      <c r="GR29" s="276"/>
      <c r="GS29" s="276"/>
      <c r="GT29" s="276"/>
      <c r="GU29" s="276"/>
      <c r="GV29" s="276"/>
      <c r="GW29" s="276"/>
      <c r="GX29" s="276"/>
      <c r="GY29" s="276"/>
      <c r="GZ29" s="276"/>
      <c r="HA29" s="276"/>
      <c r="HB29" s="276"/>
      <c r="HC29" s="276"/>
      <c r="HD29" s="276"/>
      <c r="HE29" s="276"/>
      <c r="HF29" s="276"/>
      <c r="HG29" s="276"/>
      <c r="HH29" s="276"/>
      <c r="HI29" s="276"/>
      <c r="HJ29" s="276"/>
      <c r="HK29" s="276"/>
      <c r="HL29" s="276"/>
      <c r="HM29" s="276"/>
      <c r="HN29" s="276"/>
      <c r="HO29" s="276"/>
      <c r="HP29" s="276"/>
      <c r="HQ29" s="276"/>
      <c r="HR29" s="276"/>
      <c r="HS29" s="276"/>
      <c r="HT29" s="276"/>
      <c r="HU29" s="276"/>
      <c r="HV29" s="276"/>
      <c r="HW29" s="276"/>
      <c r="HX29" s="276"/>
      <c r="HY29" s="276"/>
      <c r="HZ29" s="276"/>
      <c r="IA29" s="276"/>
      <c r="IB29" s="276"/>
      <c r="IC29" s="276"/>
      <c r="ID29" s="276"/>
      <c r="IE29" s="276"/>
      <c r="IF29" s="276"/>
      <c r="IG29" s="276"/>
      <c r="IH29" s="276"/>
      <c r="II29" s="276"/>
      <c r="IJ29" s="276"/>
      <c r="IK29" s="276"/>
      <c r="IL29" s="276"/>
      <c r="IM29" s="276"/>
      <c r="IN29" s="276"/>
      <c r="IO29" s="276"/>
      <c r="IP29" s="276"/>
      <c r="IQ29" s="276"/>
      <c r="IR29" s="276"/>
      <c r="IS29" s="276"/>
      <c r="IT29" s="276"/>
      <c r="IU29" s="276"/>
      <c r="IV29" s="276"/>
    </row>
    <row r="30" spans="1:256" x14ac:dyDescent="0.25">
      <c r="A30" s="433"/>
      <c r="B30" s="434"/>
      <c r="C30" s="426"/>
      <c r="D30" s="434"/>
      <c r="E30" s="426"/>
      <c r="F30" s="434"/>
      <c r="G30" s="435"/>
      <c r="H30" s="434"/>
      <c r="I30" s="426"/>
      <c r="J30" s="434"/>
      <c r="K30" s="426"/>
      <c r="L30" s="434"/>
      <c r="M30" s="435"/>
      <c r="N30" s="434"/>
      <c r="O30" s="426"/>
      <c r="P30" s="434"/>
      <c r="Q30" s="426"/>
      <c r="R30" s="434"/>
      <c r="S30" s="436"/>
      <c r="T30" s="276"/>
      <c r="U30" s="276"/>
      <c r="V30" s="276"/>
      <c r="W30" s="276"/>
      <c r="X30" s="276"/>
      <c r="Y30" s="276"/>
      <c r="Z30" s="276"/>
      <c r="AA30" s="276"/>
      <c r="AB30" s="276"/>
      <c r="AC30" s="276"/>
      <c r="AD30" s="276"/>
      <c r="AE30" s="276"/>
      <c r="AF30" s="276"/>
      <c r="AG30" s="276"/>
      <c r="AH30" s="276"/>
      <c r="AI30" s="276"/>
      <c r="AJ30" s="276"/>
      <c r="AK30" s="276"/>
      <c r="AL30" s="276"/>
      <c r="AM30" s="276"/>
      <c r="AN30" s="276"/>
      <c r="AO30" s="276"/>
      <c r="AP30" s="276"/>
      <c r="AQ30" s="276"/>
      <c r="AR30" s="276"/>
      <c r="AS30" s="276"/>
      <c r="AT30" s="276"/>
      <c r="AU30" s="276"/>
      <c r="AV30" s="276"/>
      <c r="AW30" s="276"/>
      <c r="AX30" s="276"/>
      <c r="AY30" s="276"/>
      <c r="AZ30" s="276"/>
      <c r="BA30" s="276"/>
      <c r="BB30" s="276"/>
      <c r="BC30" s="276"/>
      <c r="BD30" s="276"/>
      <c r="BE30" s="276"/>
      <c r="BF30" s="276"/>
      <c r="BG30" s="276"/>
      <c r="BH30" s="276"/>
      <c r="BI30" s="276"/>
      <c r="BJ30" s="276"/>
      <c r="BK30" s="276"/>
      <c r="BL30" s="276"/>
      <c r="BM30" s="276"/>
      <c r="BN30" s="276"/>
      <c r="BO30" s="276"/>
      <c r="BP30" s="276"/>
      <c r="BQ30" s="276"/>
      <c r="BR30" s="276"/>
      <c r="BS30" s="276"/>
      <c r="BT30" s="276"/>
      <c r="BU30" s="276"/>
      <c r="BV30" s="276"/>
      <c r="BW30" s="276"/>
      <c r="BX30" s="276"/>
      <c r="BY30" s="276"/>
      <c r="BZ30" s="276"/>
      <c r="CA30" s="276"/>
      <c r="CB30" s="276"/>
      <c r="CC30" s="276"/>
      <c r="CD30" s="276"/>
      <c r="CE30" s="276"/>
      <c r="CF30" s="276"/>
      <c r="CG30" s="276"/>
      <c r="CH30" s="276"/>
      <c r="CI30" s="276"/>
      <c r="CJ30" s="276"/>
      <c r="CK30" s="276"/>
      <c r="CL30" s="276"/>
      <c r="CM30" s="276"/>
      <c r="CN30" s="276"/>
      <c r="CO30" s="276"/>
      <c r="CP30" s="276"/>
      <c r="CQ30" s="276"/>
      <c r="CR30" s="276"/>
      <c r="CS30" s="276"/>
      <c r="CT30" s="276"/>
      <c r="CU30" s="276"/>
      <c r="CV30" s="276"/>
      <c r="CW30" s="276"/>
      <c r="CX30" s="276"/>
      <c r="CY30" s="276"/>
      <c r="CZ30" s="276"/>
      <c r="DA30" s="276"/>
      <c r="DB30" s="276"/>
      <c r="DC30" s="276"/>
      <c r="DD30" s="276"/>
      <c r="DE30" s="276"/>
      <c r="DF30" s="276"/>
      <c r="DG30" s="276"/>
      <c r="DH30" s="276"/>
      <c r="DI30" s="276"/>
      <c r="DJ30" s="276"/>
      <c r="DK30" s="276"/>
      <c r="DL30" s="276"/>
      <c r="DM30" s="276"/>
      <c r="DN30" s="276"/>
      <c r="DO30" s="276"/>
      <c r="DP30" s="276"/>
      <c r="DQ30" s="276"/>
      <c r="DR30" s="276"/>
      <c r="DS30" s="276"/>
      <c r="DT30" s="276"/>
      <c r="DU30" s="276"/>
      <c r="DV30" s="276"/>
      <c r="DW30" s="276"/>
      <c r="DX30" s="276"/>
      <c r="DY30" s="276"/>
      <c r="DZ30" s="276"/>
      <c r="EA30" s="276"/>
      <c r="EB30" s="276"/>
      <c r="EC30" s="276"/>
      <c r="ED30" s="276"/>
      <c r="EE30" s="276"/>
      <c r="EF30" s="276"/>
      <c r="EG30" s="276"/>
      <c r="EH30" s="276"/>
      <c r="EI30" s="276"/>
      <c r="EJ30" s="276"/>
      <c r="EK30" s="276"/>
      <c r="EL30" s="276"/>
      <c r="EM30" s="276"/>
      <c r="EN30" s="276"/>
      <c r="EO30" s="276"/>
      <c r="EP30" s="276"/>
      <c r="EQ30" s="276"/>
      <c r="ER30" s="276"/>
      <c r="ES30" s="276"/>
      <c r="ET30" s="276"/>
      <c r="EU30" s="276"/>
      <c r="EV30" s="276"/>
      <c r="EW30" s="276"/>
      <c r="EX30" s="276"/>
      <c r="EY30" s="276"/>
      <c r="EZ30" s="276"/>
      <c r="FA30" s="276"/>
      <c r="FB30" s="276"/>
      <c r="FC30" s="276"/>
      <c r="FD30" s="276"/>
      <c r="FE30" s="276"/>
      <c r="FF30" s="276"/>
      <c r="FG30" s="276"/>
      <c r="FH30" s="276"/>
      <c r="FI30" s="276"/>
      <c r="FJ30" s="276"/>
      <c r="FK30" s="276"/>
      <c r="FL30" s="276"/>
      <c r="FM30" s="276"/>
      <c r="FN30" s="276"/>
      <c r="FO30" s="276"/>
      <c r="FP30" s="276"/>
      <c r="FQ30" s="276"/>
      <c r="FR30" s="276"/>
      <c r="FS30" s="276"/>
      <c r="FT30" s="276"/>
      <c r="FU30" s="276"/>
      <c r="FV30" s="276"/>
      <c r="FW30" s="276"/>
      <c r="FX30" s="276"/>
      <c r="FY30" s="276"/>
      <c r="FZ30" s="276"/>
      <c r="GA30" s="276"/>
      <c r="GB30" s="276"/>
      <c r="GC30" s="276"/>
      <c r="GD30" s="276"/>
      <c r="GE30" s="276"/>
      <c r="GF30" s="276"/>
      <c r="GG30" s="276"/>
      <c r="GH30" s="276"/>
      <c r="GI30" s="276"/>
      <c r="GJ30" s="276"/>
      <c r="GK30" s="276"/>
      <c r="GL30" s="276"/>
      <c r="GM30" s="276"/>
      <c r="GN30" s="276"/>
      <c r="GO30" s="276"/>
      <c r="GP30" s="276"/>
      <c r="GQ30" s="276"/>
      <c r="GR30" s="276"/>
      <c r="GS30" s="276"/>
      <c r="GT30" s="276"/>
      <c r="GU30" s="276"/>
      <c r="GV30" s="276"/>
      <c r="GW30" s="276"/>
      <c r="GX30" s="276"/>
      <c r="GY30" s="276"/>
      <c r="GZ30" s="276"/>
      <c r="HA30" s="276"/>
      <c r="HB30" s="276"/>
      <c r="HC30" s="276"/>
      <c r="HD30" s="276"/>
      <c r="HE30" s="276"/>
      <c r="HF30" s="276"/>
      <c r="HG30" s="276"/>
      <c r="HH30" s="276"/>
      <c r="HI30" s="276"/>
      <c r="HJ30" s="276"/>
      <c r="HK30" s="276"/>
      <c r="HL30" s="276"/>
      <c r="HM30" s="276"/>
      <c r="HN30" s="276"/>
      <c r="HO30" s="276"/>
      <c r="HP30" s="276"/>
      <c r="HQ30" s="276"/>
      <c r="HR30" s="276"/>
      <c r="HS30" s="276"/>
      <c r="HT30" s="276"/>
      <c r="HU30" s="276"/>
      <c r="HV30" s="276"/>
      <c r="HW30" s="276"/>
      <c r="HX30" s="276"/>
      <c r="HY30" s="276"/>
      <c r="HZ30" s="276"/>
      <c r="IA30" s="276"/>
      <c r="IB30" s="276"/>
      <c r="IC30" s="276"/>
      <c r="ID30" s="276"/>
      <c r="IE30" s="276"/>
      <c r="IF30" s="276"/>
      <c r="IG30" s="276"/>
      <c r="IH30" s="276"/>
      <c r="II30" s="276"/>
      <c r="IJ30" s="276"/>
      <c r="IK30" s="276"/>
      <c r="IL30" s="276"/>
      <c r="IM30" s="276"/>
      <c r="IN30" s="276"/>
      <c r="IO30" s="276"/>
      <c r="IP30" s="276"/>
      <c r="IQ30" s="276"/>
      <c r="IR30" s="276"/>
      <c r="IS30" s="276"/>
      <c r="IT30" s="276"/>
      <c r="IU30" s="276"/>
      <c r="IV30" s="276"/>
    </row>
    <row r="31" spans="1:256" x14ac:dyDescent="0.25">
      <c r="A31" s="296">
        <f>+A29+1</f>
        <v>2011</v>
      </c>
      <c r="B31" s="297">
        <v>2542</v>
      </c>
      <c r="C31" s="298">
        <f>B31/R31</f>
        <v>0.89318341531974699</v>
      </c>
      <c r="D31" s="297">
        <v>96</v>
      </c>
      <c r="E31" s="298">
        <f>D31/R31</f>
        <v>3.3731553056921992E-2</v>
      </c>
      <c r="F31" s="297">
        <f>B31+D31</f>
        <v>2638</v>
      </c>
      <c r="G31" s="299">
        <f>F31/R31</f>
        <v>0.92691496837666898</v>
      </c>
      <c r="H31" s="297">
        <v>208</v>
      </c>
      <c r="I31" s="298">
        <f>+H31/R31</f>
        <v>7.3085031623330993E-2</v>
      </c>
      <c r="J31" s="297">
        <v>0</v>
      </c>
      <c r="K31" s="298">
        <f>J31/R31</f>
        <v>0</v>
      </c>
      <c r="L31" s="297">
        <f>H31+J31</f>
        <v>208</v>
      </c>
      <c r="M31" s="299">
        <f>L31/R31</f>
        <v>7.3085031623330993E-2</v>
      </c>
      <c r="N31" s="297">
        <f>B31+H31</f>
        <v>2750</v>
      </c>
      <c r="O31" s="298">
        <f>N31/R31</f>
        <v>0.96626844694307801</v>
      </c>
      <c r="P31" s="297">
        <f>D31+J31</f>
        <v>96</v>
      </c>
      <c r="Q31" s="298">
        <f>P31/R31</f>
        <v>3.3731553056921992E-2</v>
      </c>
      <c r="R31" s="297">
        <f>N31+P31</f>
        <v>2846</v>
      </c>
      <c r="S31" s="300">
        <f>SUM(G31,M31)</f>
        <v>1</v>
      </c>
      <c r="T31" s="276"/>
      <c r="U31" s="276"/>
      <c r="V31" s="276"/>
      <c r="W31" s="276"/>
      <c r="X31" s="276"/>
      <c r="Y31" s="276"/>
      <c r="Z31" s="276"/>
      <c r="AA31" s="276"/>
      <c r="AB31" s="276"/>
      <c r="AC31" s="276"/>
      <c r="AD31" s="276"/>
      <c r="AE31" s="276"/>
      <c r="AF31" s="276"/>
      <c r="AG31" s="276"/>
      <c r="AH31" s="276"/>
      <c r="AI31" s="276"/>
      <c r="AJ31" s="276"/>
      <c r="AK31" s="276"/>
      <c r="AL31" s="276"/>
      <c r="AM31" s="276"/>
      <c r="AN31" s="276"/>
      <c r="AO31" s="276"/>
      <c r="AP31" s="276"/>
      <c r="AQ31" s="276"/>
      <c r="AR31" s="276"/>
      <c r="AS31" s="276"/>
      <c r="AT31" s="276"/>
      <c r="AU31" s="276"/>
      <c r="AV31" s="276"/>
      <c r="AW31" s="276"/>
      <c r="AX31" s="276"/>
      <c r="AY31" s="276"/>
      <c r="AZ31" s="276"/>
      <c r="BA31" s="276"/>
      <c r="BB31" s="276"/>
      <c r="BC31" s="276"/>
      <c r="BD31" s="276"/>
      <c r="BE31" s="276"/>
      <c r="BF31" s="276"/>
      <c r="BG31" s="276"/>
      <c r="BH31" s="276"/>
      <c r="BI31" s="276"/>
      <c r="BJ31" s="276"/>
      <c r="BK31" s="276"/>
      <c r="BL31" s="276"/>
      <c r="BM31" s="276"/>
      <c r="BN31" s="276"/>
      <c r="BO31" s="276"/>
      <c r="BP31" s="276"/>
      <c r="BQ31" s="276"/>
      <c r="BR31" s="276"/>
      <c r="BS31" s="276"/>
      <c r="BT31" s="276"/>
      <c r="BU31" s="276"/>
      <c r="BV31" s="276"/>
      <c r="BW31" s="276"/>
      <c r="BX31" s="276"/>
      <c r="BY31" s="276"/>
      <c r="BZ31" s="276"/>
      <c r="CA31" s="276"/>
      <c r="CB31" s="276"/>
      <c r="CC31" s="276"/>
      <c r="CD31" s="276"/>
      <c r="CE31" s="276"/>
      <c r="CF31" s="276"/>
      <c r="CG31" s="276"/>
      <c r="CH31" s="276"/>
      <c r="CI31" s="276"/>
      <c r="CJ31" s="276"/>
      <c r="CK31" s="276"/>
      <c r="CL31" s="276"/>
      <c r="CM31" s="276"/>
      <c r="CN31" s="276"/>
      <c r="CO31" s="276"/>
      <c r="CP31" s="276"/>
      <c r="CQ31" s="276"/>
      <c r="CR31" s="276"/>
      <c r="CS31" s="276"/>
      <c r="CT31" s="276"/>
      <c r="CU31" s="276"/>
      <c r="CV31" s="276"/>
      <c r="CW31" s="276"/>
      <c r="CX31" s="276"/>
      <c r="CY31" s="276"/>
      <c r="CZ31" s="276"/>
      <c r="DA31" s="276"/>
      <c r="DB31" s="276"/>
      <c r="DC31" s="276"/>
      <c r="DD31" s="276"/>
      <c r="DE31" s="276"/>
      <c r="DF31" s="276"/>
      <c r="DG31" s="276"/>
      <c r="DH31" s="276"/>
      <c r="DI31" s="276"/>
      <c r="DJ31" s="276"/>
      <c r="DK31" s="276"/>
      <c r="DL31" s="276"/>
      <c r="DM31" s="276"/>
      <c r="DN31" s="276"/>
      <c r="DO31" s="276"/>
      <c r="DP31" s="276"/>
      <c r="DQ31" s="276"/>
      <c r="DR31" s="276"/>
      <c r="DS31" s="276"/>
      <c r="DT31" s="276"/>
      <c r="DU31" s="276"/>
      <c r="DV31" s="276"/>
      <c r="DW31" s="276"/>
      <c r="DX31" s="276"/>
      <c r="DY31" s="276"/>
      <c r="DZ31" s="276"/>
      <c r="EA31" s="276"/>
      <c r="EB31" s="276"/>
      <c r="EC31" s="276"/>
      <c r="ED31" s="276"/>
      <c r="EE31" s="276"/>
      <c r="EF31" s="276"/>
      <c r="EG31" s="276"/>
      <c r="EH31" s="276"/>
      <c r="EI31" s="276"/>
      <c r="EJ31" s="276"/>
      <c r="EK31" s="276"/>
      <c r="EL31" s="276"/>
      <c r="EM31" s="276"/>
      <c r="EN31" s="276"/>
      <c r="EO31" s="276"/>
      <c r="EP31" s="276"/>
      <c r="EQ31" s="276"/>
      <c r="ER31" s="276"/>
      <c r="ES31" s="276"/>
      <c r="ET31" s="276"/>
      <c r="EU31" s="276"/>
      <c r="EV31" s="276"/>
      <c r="EW31" s="276"/>
      <c r="EX31" s="276"/>
      <c r="EY31" s="276"/>
      <c r="EZ31" s="276"/>
      <c r="FA31" s="276"/>
      <c r="FB31" s="276"/>
      <c r="FC31" s="276"/>
      <c r="FD31" s="276"/>
      <c r="FE31" s="276"/>
      <c r="FF31" s="276"/>
      <c r="FG31" s="276"/>
      <c r="FH31" s="276"/>
      <c r="FI31" s="276"/>
      <c r="FJ31" s="276"/>
      <c r="FK31" s="276"/>
      <c r="FL31" s="276"/>
      <c r="FM31" s="276"/>
      <c r="FN31" s="276"/>
      <c r="FO31" s="276"/>
      <c r="FP31" s="276"/>
      <c r="FQ31" s="276"/>
      <c r="FR31" s="276"/>
      <c r="FS31" s="276"/>
      <c r="FT31" s="276"/>
      <c r="FU31" s="276"/>
      <c r="FV31" s="276"/>
      <c r="FW31" s="276"/>
      <c r="FX31" s="276"/>
      <c r="FY31" s="276"/>
      <c r="FZ31" s="276"/>
      <c r="GA31" s="276"/>
      <c r="GB31" s="276"/>
      <c r="GC31" s="276"/>
      <c r="GD31" s="276"/>
      <c r="GE31" s="276"/>
      <c r="GF31" s="276"/>
      <c r="GG31" s="276"/>
      <c r="GH31" s="276"/>
      <c r="GI31" s="276"/>
      <c r="GJ31" s="276"/>
      <c r="GK31" s="276"/>
      <c r="GL31" s="276"/>
      <c r="GM31" s="276"/>
      <c r="GN31" s="276"/>
      <c r="GO31" s="276"/>
      <c r="GP31" s="276"/>
      <c r="GQ31" s="276"/>
      <c r="GR31" s="276"/>
      <c r="GS31" s="276"/>
      <c r="GT31" s="276"/>
      <c r="GU31" s="276"/>
      <c r="GV31" s="276"/>
      <c r="GW31" s="276"/>
      <c r="GX31" s="276"/>
      <c r="GY31" s="276"/>
      <c r="GZ31" s="276"/>
      <c r="HA31" s="276"/>
      <c r="HB31" s="276"/>
      <c r="HC31" s="276"/>
      <c r="HD31" s="276"/>
      <c r="HE31" s="276"/>
      <c r="HF31" s="276"/>
      <c r="HG31" s="276"/>
      <c r="HH31" s="276"/>
      <c r="HI31" s="276"/>
      <c r="HJ31" s="276"/>
      <c r="HK31" s="276"/>
      <c r="HL31" s="276"/>
      <c r="HM31" s="276"/>
      <c r="HN31" s="276"/>
      <c r="HO31" s="276"/>
      <c r="HP31" s="276"/>
      <c r="HQ31" s="276"/>
      <c r="HR31" s="276"/>
      <c r="HS31" s="276"/>
      <c r="HT31" s="276"/>
      <c r="HU31" s="276"/>
      <c r="HV31" s="276"/>
      <c r="HW31" s="276"/>
      <c r="HX31" s="276"/>
      <c r="HY31" s="276"/>
      <c r="HZ31" s="276"/>
      <c r="IA31" s="276"/>
      <c r="IB31" s="276"/>
      <c r="IC31" s="276"/>
      <c r="ID31" s="276"/>
      <c r="IE31" s="276"/>
      <c r="IF31" s="276"/>
      <c r="IG31" s="276"/>
      <c r="IH31" s="276"/>
      <c r="II31" s="276"/>
      <c r="IJ31" s="276"/>
      <c r="IK31" s="276"/>
      <c r="IL31" s="276"/>
      <c r="IM31" s="276"/>
      <c r="IN31" s="276"/>
      <c r="IO31" s="276"/>
      <c r="IP31" s="276"/>
      <c r="IQ31" s="276"/>
      <c r="IR31" s="276"/>
      <c r="IS31" s="276"/>
      <c r="IT31" s="276"/>
      <c r="IU31" s="276"/>
      <c r="IV31" s="276"/>
    </row>
    <row r="32" spans="1:256" x14ac:dyDescent="0.25">
      <c r="A32" s="433"/>
      <c r="B32" s="434"/>
      <c r="C32" s="426"/>
      <c r="D32" s="434"/>
      <c r="E32" s="426"/>
      <c r="F32" s="434"/>
      <c r="G32" s="435"/>
      <c r="H32" s="434"/>
      <c r="I32" s="426"/>
      <c r="J32" s="434"/>
      <c r="K32" s="426"/>
      <c r="L32" s="434"/>
      <c r="M32" s="435"/>
      <c r="N32" s="434"/>
      <c r="O32" s="426"/>
      <c r="P32" s="434"/>
      <c r="Q32" s="426"/>
      <c r="R32" s="434"/>
      <c r="S32" s="436"/>
      <c r="T32" s="276"/>
      <c r="U32" s="276"/>
      <c r="V32" s="276"/>
      <c r="W32" s="276"/>
      <c r="X32" s="276"/>
      <c r="Y32" s="276"/>
      <c r="Z32" s="276"/>
      <c r="AA32" s="276"/>
      <c r="AB32" s="276"/>
      <c r="AC32" s="276"/>
      <c r="AD32" s="276"/>
      <c r="AE32" s="276"/>
      <c r="AF32" s="276"/>
      <c r="AG32" s="276"/>
      <c r="AH32" s="276"/>
      <c r="AI32" s="276"/>
      <c r="AJ32" s="276"/>
      <c r="AK32" s="276"/>
      <c r="AL32" s="276"/>
      <c r="AM32" s="276"/>
      <c r="AN32" s="276"/>
      <c r="AO32" s="276"/>
      <c r="AP32" s="276"/>
      <c r="AQ32" s="276"/>
      <c r="AR32" s="276"/>
      <c r="AS32" s="276"/>
      <c r="AT32" s="276"/>
      <c r="AU32" s="276"/>
      <c r="AV32" s="276"/>
      <c r="AW32" s="276"/>
      <c r="AX32" s="276"/>
      <c r="AY32" s="276"/>
      <c r="AZ32" s="276"/>
      <c r="BA32" s="276"/>
      <c r="BB32" s="276"/>
      <c r="BC32" s="276"/>
      <c r="BD32" s="276"/>
      <c r="BE32" s="276"/>
      <c r="BF32" s="276"/>
      <c r="BG32" s="276"/>
      <c r="BH32" s="276"/>
      <c r="BI32" s="276"/>
      <c r="BJ32" s="276"/>
      <c r="BK32" s="276"/>
      <c r="BL32" s="276"/>
      <c r="BM32" s="276"/>
      <c r="BN32" s="276"/>
      <c r="BO32" s="276"/>
      <c r="BP32" s="276"/>
      <c r="BQ32" s="276"/>
      <c r="BR32" s="276"/>
      <c r="BS32" s="276"/>
      <c r="BT32" s="276"/>
      <c r="BU32" s="276"/>
      <c r="BV32" s="276"/>
      <c r="BW32" s="276"/>
      <c r="BX32" s="276"/>
      <c r="BY32" s="276"/>
      <c r="BZ32" s="276"/>
      <c r="CA32" s="276"/>
      <c r="CB32" s="276"/>
      <c r="CC32" s="276"/>
      <c r="CD32" s="276"/>
      <c r="CE32" s="276"/>
      <c r="CF32" s="276"/>
      <c r="CG32" s="276"/>
      <c r="CH32" s="276"/>
      <c r="CI32" s="276"/>
      <c r="CJ32" s="276"/>
      <c r="CK32" s="276"/>
      <c r="CL32" s="276"/>
      <c r="CM32" s="276"/>
      <c r="CN32" s="276"/>
      <c r="CO32" s="276"/>
      <c r="CP32" s="276"/>
      <c r="CQ32" s="276"/>
      <c r="CR32" s="276"/>
      <c r="CS32" s="276"/>
      <c r="CT32" s="276"/>
      <c r="CU32" s="276"/>
      <c r="CV32" s="276"/>
      <c r="CW32" s="276"/>
      <c r="CX32" s="276"/>
      <c r="CY32" s="276"/>
      <c r="CZ32" s="276"/>
      <c r="DA32" s="276"/>
      <c r="DB32" s="276"/>
      <c r="DC32" s="276"/>
      <c r="DD32" s="276"/>
      <c r="DE32" s="276"/>
      <c r="DF32" s="276"/>
      <c r="DG32" s="276"/>
      <c r="DH32" s="276"/>
      <c r="DI32" s="276"/>
      <c r="DJ32" s="276"/>
      <c r="DK32" s="276"/>
      <c r="DL32" s="276"/>
      <c r="DM32" s="276"/>
      <c r="DN32" s="276"/>
      <c r="DO32" s="276"/>
      <c r="DP32" s="276"/>
      <c r="DQ32" s="276"/>
      <c r="DR32" s="276"/>
      <c r="DS32" s="276"/>
      <c r="DT32" s="276"/>
      <c r="DU32" s="276"/>
      <c r="DV32" s="276"/>
      <c r="DW32" s="276"/>
      <c r="DX32" s="276"/>
      <c r="DY32" s="276"/>
      <c r="DZ32" s="276"/>
      <c r="EA32" s="276"/>
      <c r="EB32" s="276"/>
      <c r="EC32" s="276"/>
      <c r="ED32" s="276"/>
      <c r="EE32" s="276"/>
      <c r="EF32" s="276"/>
      <c r="EG32" s="276"/>
      <c r="EH32" s="276"/>
      <c r="EI32" s="276"/>
      <c r="EJ32" s="276"/>
      <c r="EK32" s="276"/>
      <c r="EL32" s="276"/>
      <c r="EM32" s="276"/>
      <c r="EN32" s="276"/>
      <c r="EO32" s="276"/>
      <c r="EP32" s="276"/>
      <c r="EQ32" s="276"/>
      <c r="ER32" s="276"/>
      <c r="ES32" s="276"/>
      <c r="ET32" s="276"/>
      <c r="EU32" s="276"/>
      <c r="EV32" s="276"/>
      <c r="EW32" s="276"/>
      <c r="EX32" s="276"/>
      <c r="EY32" s="276"/>
      <c r="EZ32" s="276"/>
      <c r="FA32" s="276"/>
      <c r="FB32" s="276"/>
      <c r="FC32" s="276"/>
      <c r="FD32" s="276"/>
      <c r="FE32" s="276"/>
      <c r="FF32" s="276"/>
      <c r="FG32" s="276"/>
      <c r="FH32" s="276"/>
      <c r="FI32" s="276"/>
      <c r="FJ32" s="276"/>
      <c r="FK32" s="276"/>
      <c r="FL32" s="276"/>
      <c r="FM32" s="276"/>
      <c r="FN32" s="276"/>
      <c r="FO32" s="276"/>
      <c r="FP32" s="276"/>
      <c r="FQ32" s="276"/>
      <c r="FR32" s="276"/>
      <c r="FS32" s="276"/>
      <c r="FT32" s="276"/>
      <c r="FU32" s="276"/>
      <c r="FV32" s="276"/>
      <c r="FW32" s="276"/>
      <c r="FX32" s="276"/>
      <c r="FY32" s="276"/>
      <c r="FZ32" s="276"/>
      <c r="GA32" s="276"/>
      <c r="GB32" s="276"/>
      <c r="GC32" s="276"/>
      <c r="GD32" s="276"/>
      <c r="GE32" s="276"/>
      <c r="GF32" s="276"/>
      <c r="GG32" s="276"/>
      <c r="GH32" s="276"/>
      <c r="GI32" s="276"/>
      <c r="GJ32" s="276"/>
      <c r="GK32" s="276"/>
      <c r="GL32" s="276"/>
      <c r="GM32" s="276"/>
      <c r="GN32" s="276"/>
      <c r="GO32" s="276"/>
      <c r="GP32" s="276"/>
      <c r="GQ32" s="276"/>
      <c r="GR32" s="276"/>
      <c r="GS32" s="276"/>
      <c r="GT32" s="276"/>
      <c r="GU32" s="276"/>
      <c r="GV32" s="276"/>
      <c r="GW32" s="276"/>
      <c r="GX32" s="276"/>
      <c r="GY32" s="276"/>
      <c r="GZ32" s="276"/>
      <c r="HA32" s="276"/>
      <c r="HB32" s="276"/>
      <c r="HC32" s="276"/>
      <c r="HD32" s="276"/>
      <c r="HE32" s="276"/>
      <c r="HF32" s="276"/>
      <c r="HG32" s="276"/>
      <c r="HH32" s="276"/>
      <c r="HI32" s="276"/>
      <c r="HJ32" s="276"/>
      <c r="HK32" s="276"/>
      <c r="HL32" s="276"/>
      <c r="HM32" s="276"/>
      <c r="HN32" s="276"/>
      <c r="HO32" s="276"/>
      <c r="HP32" s="276"/>
      <c r="HQ32" s="276"/>
      <c r="HR32" s="276"/>
      <c r="HS32" s="276"/>
      <c r="HT32" s="276"/>
      <c r="HU32" s="276"/>
      <c r="HV32" s="276"/>
      <c r="HW32" s="276"/>
      <c r="HX32" s="276"/>
      <c r="HY32" s="276"/>
      <c r="HZ32" s="276"/>
      <c r="IA32" s="276"/>
      <c r="IB32" s="276"/>
      <c r="IC32" s="276"/>
      <c r="ID32" s="276"/>
      <c r="IE32" s="276"/>
      <c r="IF32" s="276"/>
      <c r="IG32" s="276"/>
      <c r="IH32" s="276"/>
      <c r="II32" s="276"/>
      <c r="IJ32" s="276"/>
      <c r="IK32" s="276"/>
      <c r="IL32" s="276"/>
      <c r="IM32" s="276"/>
      <c r="IN32" s="276"/>
      <c r="IO32" s="276"/>
      <c r="IP32" s="276"/>
      <c r="IQ32" s="276"/>
      <c r="IR32" s="276"/>
      <c r="IS32" s="276"/>
      <c r="IT32" s="276"/>
      <c r="IU32" s="276"/>
      <c r="IV32" s="276"/>
    </row>
    <row r="33" spans="1:256" x14ac:dyDescent="0.25">
      <c r="A33" s="296">
        <f>+A31+1</f>
        <v>2012</v>
      </c>
      <c r="B33" s="297">
        <v>2545</v>
      </c>
      <c r="C33" s="298">
        <f>B33/R33</f>
        <v>0.89329589329589332</v>
      </c>
      <c r="D33" s="297">
        <v>81</v>
      </c>
      <c r="E33" s="298">
        <f>D33/R33</f>
        <v>2.8431028431028432E-2</v>
      </c>
      <c r="F33" s="297">
        <f>B33+D33</f>
        <v>2626</v>
      </c>
      <c r="G33" s="299">
        <f>F33/R33</f>
        <v>0.92172692172692172</v>
      </c>
      <c r="H33" s="297">
        <v>220</v>
      </c>
      <c r="I33" s="298">
        <f>+H33/R33</f>
        <v>7.7220077220077218E-2</v>
      </c>
      <c r="J33" s="297">
        <v>3</v>
      </c>
      <c r="K33" s="298">
        <f>J33/R33</f>
        <v>1.053001053001053E-3</v>
      </c>
      <c r="L33" s="297">
        <f>H33+J33</f>
        <v>223</v>
      </c>
      <c r="M33" s="299">
        <f>L33/R33</f>
        <v>7.8273078273078278E-2</v>
      </c>
      <c r="N33" s="297">
        <f>B33+H33</f>
        <v>2765</v>
      </c>
      <c r="O33" s="298">
        <f>N33/R33</f>
        <v>0.97051597051597049</v>
      </c>
      <c r="P33" s="297">
        <f>D33+J33</f>
        <v>84</v>
      </c>
      <c r="Q33" s="298">
        <f>P33/R33</f>
        <v>2.9484029484029485E-2</v>
      </c>
      <c r="R33" s="297">
        <f>N33+P33</f>
        <v>2849</v>
      </c>
      <c r="S33" s="300">
        <f>SUM(G33,M33)</f>
        <v>1</v>
      </c>
      <c r="T33" s="276"/>
      <c r="U33" s="276"/>
      <c r="V33" s="276"/>
      <c r="W33" s="276"/>
      <c r="X33" s="276"/>
      <c r="Y33" s="276"/>
      <c r="Z33" s="276"/>
      <c r="AA33" s="276"/>
      <c r="AB33" s="276"/>
      <c r="AC33" s="276"/>
      <c r="AD33" s="276"/>
      <c r="AE33" s="276"/>
      <c r="AF33" s="276"/>
      <c r="AG33" s="276"/>
      <c r="AH33" s="276"/>
      <c r="AI33" s="276"/>
      <c r="AJ33" s="276"/>
      <c r="AK33" s="276"/>
      <c r="AL33" s="276"/>
      <c r="AM33" s="276"/>
      <c r="AN33" s="276"/>
      <c r="AO33" s="276"/>
      <c r="AP33" s="276"/>
      <c r="AQ33" s="276"/>
      <c r="AR33" s="276"/>
      <c r="AS33" s="276"/>
      <c r="AT33" s="276"/>
      <c r="AU33" s="276"/>
      <c r="AV33" s="276"/>
      <c r="AW33" s="276"/>
      <c r="AX33" s="276"/>
      <c r="AY33" s="276"/>
      <c r="AZ33" s="276"/>
      <c r="BA33" s="276"/>
      <c r="BB33" s="276"/>
      <c r="BC33" s="276"/>
      <c r="BD33" s="276"/>
      <c r="BE33" s="276"/>
      <c r="BF33" s="276"/>
      <c r="BG33" s="276"/>
      <c r="BH33" s="276"/>
      <c r="BI33" s="276"/>
      <c r="BJ33" s="276"/>
      <c r="BK33" s="276"/>
      <c r="BL33" s="276"/>
      <c r="BM33" s="276"/>
      <c r="BN33" s="276"/>
      <c r="BO33" s="276"/>
      <c r="BP33" s="276"/>
      <c r="BQ33" s="276"/>
      <c r="BR33" s="276"/>
      <c r="BS33" s="276"/>
      <c r="BT33" s="276"/>
      <c r="BU33" s="276"/>
      <c r="BV33" s="276"/>
      <c r="BW33" s="276"/>
      <c r="BX33" s="276"/>
      <c r="BY33" s="276"/>
      <c r="BZ33" s="276"/>
      <c r="CA33" s="276"/>
      <c r="CB33" s="276"/>
      <c r="CC33" s="276"/>
      <c r="CD33" s="276"/>
      <c r="CE33" s="276"/>
      <c r="CF33" s="276"/>
      <c r="CG33" s="276"/>
      <c r="CH33" s="276"/>
      <c r="CI33" s="276"/>
      <c r="CJ33" s="276"/>
      <c r="CK33" s="276"/>
      <c r="CL33" s="276"/>
      <c r="CM33" s="276"/>
      <c r="CN33" s="276"/>
      <c r="CO33" s="276"/>
      <c r="CP33" s="276"/>
      <c r="CQ33" s="276"/>
      <c r="CR33" s="276"/>
      <c r="CS33" s="276"/>
      <c r="CT33" s="276"/>
      <c r="CU33" s="276"/>
      <c r="CV33" s="276"/>
      <c r="CW33" s="276"/>
      <c r="CX33" s="276"/>
      <c r="CY33" s="276"/>
      <c r="CZ33" s="276"/>
      <c r="DA33" s="276"/>
      <c r="DB33" s="276"/>
      <c r="DC33" s="276"/>
      <c r="DD33" s="276"/>
      <c r="DE33" s="276"/>
      <c r="DF33" s="276"/>
      <c r="DG33" s="276"/>
      <c r="DH33" s="276"/>
      <c r="DI33" s="276"/>
      <c r="DJ33" s="276"/>
      <c r="DK33" s="276"/>
      <c r="DL33" s="276"/>
      <c r="DM33" s="276"/>
      <c r="DN33" s="276"/>
      <c r="DO33" s="276"/>
      <c r="DP33" s="276"/>
      <c r="DQ33" s="276"/>
      <c r="DR33" s="276"/>
      <c r="DS33" s="276"/>
      <c r="DT33" s="276"/>
      <c r="DU33" s="276"/>
      <c r="DV33" s="276"/>
      <c r="DW33" s="276"/>
      <c r="DX33" s="276"/>
      <c r="DY33" s="276"/>
      <c r="DZ33" s="276"/>
      <c r="EA33" s="276"/>
      <c r="EB33" s="276"/>
      <c r="EC33" s="276"/>
      <c r="ED33" s="276"/>
      <c r="EE33" s="276"/>
      <c r="EF33" s="276"/>
      <c r="EG33" s="276"/>
      <c r="EH33" s="276"/>
      <c r="EI33" s="276"/>
      <c r="EJ33" s="276"/>
      <c r="EK33" s="276"/>
      <c r="EL33" s="276"/>
      <c r="EM33" s="276"/>
      <c r="EN33" s="276"/>
      <c r="EO33" s="276"/>
      <c r="EP33" s="276"/>
      <c r="EQ33" s="276"/>
      <c r="ER33" s="276"/>
      <c r="ES33" s="276"/>
      <c r="ET33" s="276"/>
      <c r="EU33" s="276"/>
      <c r="EV33" s="276"/>
      <c r="EW33" s="276"/>
      <c r="EX33" s="276"/>
      <c r="EY33" s="276"/>
      <c r="EZ33" s="276"/>
      <c r="FA33" s="276"/>
      <c r="FB33" s="276"/>
      <c r="FC33" s="276"/>
      <c r="FD33" s="276"/>
      <c r="FE33" s="276"/>
      <c r="FF33" s="276"/>
      <c r="FG33" s="276"/>
      <c r="FH33" s="276"/>
      <c r="FI33" s="276"/>
      <c r="FJ33" s="276"/>
      <c r="FK33" s="276"/>
      <c r="FL33" s="276"/>
      <c r="FM33" s="276"/>
      <c r="FN33" s="276"/>
      <c r="FO33" s="276"/>
      <c r="FP33" s="276"/>
      <c r="FQ33" s="276"/>
      <c r="FR33" s="276"/>
      <c r="FS33" s="276"/>
      <c r="FT33" s="276"/>
      <c r="FU33" s="276"/>
      <c r="FV33" s="276"/>
      <c r="FW33" s="276"/>
      <c r="FX33" s="276"/>
      <c r="FY33" s="276"/>
      <c r="FZ33" s="276"/>
      <c r="GA33" s="276"/>
      <c r="GB33" s="276"/>
      <c r="GC33" s="276"/>
      <c r="GD33" s="276"/>
      <c r="GE33" s="276"/>
      <c r="GF33" s="276"/>
      <c r="GG33" s="276"/>
      <c r="GH33" s="276"/>
      <c r="GI33" s="276"/>
      <c r="GJ33" s="276"/>
      <c r="GK33" s="276"/>
      <c r="GL33" s="276"/>
      <c r="GM33" s="276"/>
      <c r="GN33" s="276"/>
      <c r="GO33" s="276"/>
      <c r="GP33" s="276"/>
      <c r="GQ33" s="276"/>
      <c r="GR33" s="276"/>
      <c r="GS33" s="276"/>
      <c r="GT33" s="276"/>
      <c r="GU33" s="276"/>
      <c r="GV33" s="276"/>
      <c r="GW33" s="276"/>
      <c r="GX33" s="276"/>
      <c r="GY33" s="276"/>
      <c r="GZ33" s="276"/>
      <c r="HA33" s="276"/>
      <c r="HB33" s="276"/>
      <c r="HC33" s="276"/>
      <c r="HD33" s="276"/>
      <c r="HE33" s="276"/>
      <c r="HF33" s="276"/>
      <c r="HG33" s="276"/>
      <c r="HH33" s="276"/>
      <c r="HI33" s="276"/>
      <c r="HJ33" s="276"/>
      <c r="HK33" s="276"/>
      <c r="HL33" s="276"/>
      <c r="HM33" s="276"/>
      <c r="HN33" s="276"/>
      <c r="HO33" s="276"/>
      <c r="HP33" s="276"/>
      <c r="HQ33" s="276"/>
      <c r="HR33" s="276"/>
      <c r="HS33" s="276"/>
      <c r="HT33" s="276"/>
      <c r="HU33" s="276"/>
      <c r="HV33" s="276"/>
      <c r="HW33" s="276"/>
      <c r="HX33" s="276"/>
      <c r="HY33" s="276"/>
      <c r="HZ33" s="276"/>
      <c r="IA33" s="276"/>
      <c r="IB33" s="276"/>
      <c r="IC33" s="276"/>
      <c r="ID33" s="276"/>
      <c r="IE33" s="276"/>
      <c r="IF33" s="276"/>
      <c r="IG33" s="276"/>
      <c r="IH33" s="276"/>
      <c r="II33" s="276"/>
      <c r="IJ33" s="276"/>
      <c r="IK33" s="276"/>
      <c r="IL33" s="276"/>
      <c r="IM33" s="276"/>
      <c r="IN33" s="276"/>
      <c r="IO33" s="276"/>
      <c r="IP33" s="276"/>
      <c r="IQ33" s="276"/>
      <c r="IR33" s="276"/>
      <c r="IS33" s="276"/>
      <c r="IT33" s="276"/>
      <c r="IU33" s="276"/>
      <c r="IV33" s="276"/>
    </row>
    <row r="34" spans="1:256" x14ac:dyDescent="0.25">
      <c r="A34" s="433"/>
      <c r="B34" s="434"/>
      <c r="C34" s="426"/>
      <c r="D34" s="434"/>
      <c r="E34" s="426"/>
      <c r="F34" s="434"/>
      <c r="G34" s="435"/>
      <c r="H34" s="434"/>
      <c r="I34" s="426"/>
      <c r="J34" s="434"/>
      <c r="K34" s="426"/>
      <c r="L34" s="434"/>
      <c r="M34" s="435"/>
      <c r="N34" s="434"/>
      <c r="O34" s="426"/>
      <c r="P34" s="434"/>
      <c r="Q34" s="426"/>
      <c r="R34" s="434"/>
      <c r="S34" s="436"/>
    </row>
    <row r="35" spans="1:256" x14ac:dyDescent="0.25">
      <c r="A35" s="296">
        <f>+A33+1</f>
        <v>2013</v>
      </c>
      <c r="B35" s="297">
        <v>2465</v>
      </c>
      <c r="C35" s="298">
        <f>B35/R35</f>
        <v>0.88669064748201443</v>
      </c>
      <c r="D35" s="297">
        <v>90</v>
      </c>
      <c r="E35" s="298">
        <f>D35/R35</f>
        <v>3.237410071942446E-2</v>
      </c>
      <c r="F35" s="297">
        <f>B35+D35</f>
        <v>2555</v>
      </c>
      <c r="G35" s="299">
        <f>F35/R35</f>
        <v>0.9190647482014388</v>
      </c>
      <c r="H35" s="297">
        <v>220</v>
      </c>
      <c r="I35" s="298">
        <f>+H35/R35</f>
        <v>7.9136690647482008E-2</v>
      </c>
      <c r="J35" s="297">
        <v>5</v>
      </c>
      <c r="K35" s="298">
        <f>J35/R35</f>
        <v>1.7985611510791368E-3</v>
      </c>
      <c r="L35" s="297">
        <f>H35+J35</f>
        <v>225</v>
      </c>
      <c r="M35" s="299">
        <f>L35/R35</f>
        <v>8.0935251798561147E-2</v>
      </c>
      <c r="N35" s="297">
        <f>B35+H35</f>
        <v>2685</v>
      </c>
      <c r="O35" s="298">
        <f>N35/R35</f>
        <v>0.96582733812949639</v>
      </c>
      <c r="P35" s="297">
        <f>D35+J35</f>
        <v>95</v>
      </c>
      <c r="Q35" s="298">
        <f>P35/R35</f>
        <v>3.41726618705036E-2</v>
      </c>
      <c r="R35" s="297">
        <f>N35+P35</f>
        <v>2780</v>
      </c>
      <c r="S35" s="300">
        <f>SUM(G35,M35)</f>
        <v>1</v>
      </c>
    </row>
  </sheetData>
  <phoneticPr fontId="15" type="noConversion"/>
  <printOptions horizontalCentered="1" verticalCentered="1"/>
  <pageMargins left="0.75" right="0.75" top="1" bottom="1" header="0.5" footer="0.5"/>
  <pageSetup scale="82" orientation="landscape" r:id="rId1"/>
  <headerFooter alignWithMargins="0">
    <oddFooter>&amp;RSource: Office of Institutional Research</oddFooter>
  </headerFooter>
  <webPublishItems count="1">
    <webPublishItem id="7177" divId="2001_2002 FACT BOOK FINAL COPY_7177" sourceType="sheet" destinationFile="C:\Documents and Settings\mkirkpatrick\My Documents\2004-2005 FACT BOOK\2004-2005 fact book WEB PAGES\04-05fallandspringINandOUTOFSTATEresidencyFALLANDSPRINGUPDATED.htm"/>
  </webPublishItems>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0"/>
  <dimension ref="A1:L105"/>
  <sheetViews>
    <sheetView workbookViewId="0">
      <selection sqref="A1:L1"/>
    </sheetView>
  </sheetViews>
  <sheetFormatPr defaultRowHeight="13.2" x14ac:dyDescent="0.25"/>
  <cols>
    <col min="1" max="1" width="66" customWidth="1"/>
    <col min="2" max="7" width="15.44140625" hidden="1" customWidth="1"/>
    <col min="8" max="10" width="15.44140625" customWidth="1"/>
    <col min="11" max="12" width="15.5546875" customWidth="1"/>
  </cols>
  <sheetData>
    <row r="1" spans="1:12" ht="19.2" x14ac:dyDescent="0.35">
      <c r="A1" s="1755" t="s">
        <v>43</v>
      </c>
      <c r="B1" s="1755"/>
      <c r="C1" s="1755"/>
      <c r="D1" s="1755"/>
      <c r="E1" s="1755"/>
      <c r="F1" s="1755"/>
      <c r="G1" s="1755"/>
      <c r="H1" s="1755"/>
      <c r="I1" s="1755"/>
      <c r="J1" s="1755"/>
      <c r="K1" s="1755"/>
      <c r="L1" s="1755"/>
    </row>
    <row r="2" spans="1:12" ht="19.5" customHeight="1" thickBot="1" x14ac:dyDescent="0.4">
      <c r="A2" s="1762" t="s">
        <v>500</v>
      </c>
      <c r="B2" s="1762"/>
      <c r="C2" s="1762"/>
      <c r="D2" s="1762"/>
      <c r="E2" s="1762"/>
      <c r="F2" s="1762"/>
      <c r="G2" s="1762"/>
      <c r="H2" s="1762"/>
      <c r="I2" s="1762"/>
      <c r="J2" s="1762"/>
      <c r="K2" s="1762"/>
      <c r="L2" s="1762"/>
    </row>
    <row r="3" spans="1:12" ht="20.25" customHeight="1" thickBot="1" x14ac:dyDescent="0.35">
      <c r="A3" s="1718" t="s">
        <v>400</v>
      </c>
      <c r="B3" s="1719"/>
      <c r="C3" s="1719"/>
      <c r="D3" s="1719"/>
      <c r="E3" s="1719"/>
      <c r="F3" s="1719"/>
      <c r="G3" s="1719"/>
      <c r="H3" s="1719"/>
      <c r="I3" s="1719"/>
      <c r="J3" s="1719"/>
      <c r="K3" s="1719"/>
      <c r="L3" s="1720"/>
    </row>
    <row r="4" spans="1:12" ht="20.25" customHeight="1" x14ac:dyDescent="0.3">
      <c r="A4" s="675" t="s">
        <v>401</v>
      </c>
      <c r="B4" s="671" t="s">
        <v>738</v>
      </c>
      <c r="C4" s="671" t="s">
        <v>596</v>
      </c>
      <c r="D4" s="671" t="s">
        <v>1306</v>
      </c>
      <c r="E4" s="671" t="s">
        <v>1052</v>
      </c>
      <c r="F4" s="1420" t="s">
        <v>363</v>
      </c>
      <c r="G4" s="1420" t="s">
        <v>583</v>
      </c>
      <c r="H4" s="1420" t="s">
        <v>1363</v>
      </c>
      <c r="I4" s="1420" t="s">
        <v>1388</v>
      </c>
      <c r="J4" s="1420" t="s">
        <v>1389</v>
      </c>
      <c r="K4" s="1420" t="s">
        <v>1377</v>
      </c>
      <c r="L4" s="1420" t="s">
        <v>1503</v>
      </c>
    </row>
    <row r="5" spans="1:12" ht="18" customHeight="1" x14ac:dyDescent="0.3">
      <c r="A5" s="677" t="s">
        <v>402</v>
      </c>
      <c r="B5" s="537"/>
      <c r="C5" s="537"/>
      <c r="D5" s="537"/>
      <c r="E5" s="537"/>
      <c r="F5" s="793"/>
      <c r="G5" s="793"/>
      <c r="H5" s="793"/>
      <c r="I5" s="793"/>
      <c r="J5" s="793"/>
      <c r="K5" s="793"/>
      <c r="L5" s="793"/>
    </row>
    <row r="6" spans="1:12" ht="18" customHeight="1" x14ac:dyDescent="0.3">
      <c r="A6" s="678" t="s">
        <v>1057</v>
      </c>
      <c r="B6" s="669">
        <v>11</v>
      </c>
      <c r="C6" s="669">
        <v>10</v>
      </c>
      <c r="D6" s="669">
        <v>10</v>
      </c>
      <c r="E6" s="669">
        <v>8</v>
      </c>
      <c r="F6" s="669">
        <v>2</v>
      </c>
      <c r="G6" s="669">
        <v>12</v>
      </c>
      <c r="H6" s="669">
        <v>14</v>
      </c>
      <c r="I6" s="669">
        <v>9</v>
      </c>
      <c r="J6" s="669">
        <v>16</v>
      </c>
      <c r="K6" s="669">
        <v>6</v>
      </c>
      <c r="L6" s="669">
        <v>14</v>
      </c>
    </row>
    <row r="7" spans="1:12" ht="18" customHeight="1" x14ac:dyDescent="0.3">
      <c r="A7" s="678" t="s">
        <v>511</v>
      </c>
      <c r="B7" s="669">
        <v>0</v>
      </c>
      <c r="C7" s="669">
        <v>0</v>
      </c>
      <c r="D7" s="669">
        <v>0</v>
      </c>
      <c r="E7" s="669">
        <v>1</v>
      </c>
      <c r="F7" s="669">
        <v>0</v>
      </c>
      <c r="G7" s="669">
        <v>1</v>
      </c>
      <c r="H7" s="669">
        <v>1</v>
      </c>
      <c r="I7" s="669">
        <v>0</v>
      </c>
      <c r="J7" s="669">
        <v>3</v>
      </c>
      <c r="K7" s="669">
        <v>0</v>
      </c>
      <c r="L7" s="669">
        <v>1</v>
      </c>
    </row>
    <row r="8" spans="1:12" ht="18" customHeight="1" x14ac:dyDescent="0.3">
      <c r="A8" s="678" t="s">
        <v>698</v>
      </c>
      <c r="B8" s="1007"/>
      <c r="C8" s="1007"/>
      <c r="D8" s="1007"/>
      <c r="E8" s="1007"/>
      <c r="F8" s="1008">
        <v>0</v>
      </c>
      <c r="G8" s="1008">
        <v>0</v>
      </c>
      <c r="H8" s="1008">
        <v>1</v>
      </c>
      <c r="I8" s="1008">
        <v>0</v>
      </c>
      <c r="J8" s="1008">
        <v>0</v>
      </c>
      <c r="K8" s="1008">
        <v>0</v>
      </c>
      <c r="L8" s="1008">
        <v>0</v>
      </c>
    </row>
    <row r="9" spans="1:12" ht="18" customHeight="1" x14ac:dyDescent="0.3">
      <c r="A9" s="679" t="s">
        <v>961</v>
      </c>
      <c r="B9" s="541">
        <f>SUM(B6:B7)</f>
        <v>11</v>
      </c>
      <c r="C9" s="541">
        <f>SUM(C6:C7)</f>
        <v>10</v>
      </c>
      <c r="D9" s="541">
        <f>SUM(D6:D7)</f>
        <v>10</v>
      </c>
      <c r="E9" s="541">
        <f>SUM(E6:E7)</f>
        <v>9</v>
      </c>
      <c r="F9" s="805">
        <f t="shared" ref="F9:L9" si="0">SUM(F6:F8)</f>
        <v>2</v>
      </c>
      <c r="G9" s="805">
        <f t="shared" si="0"/>
        <v>13</v>
      </c>
      <c r="H9" s="805">
        <f t="shared" si="0"/>
        <v>16</v>
      </c>
      <c r="I9" s="805">
        <f t="shared" si="0"/>
        <v>9</v>
      </c>
      <c r="J9" s="805">
        <f t="shared" si="0"/>
        <v>19</v>
      </c>
      <c r="K9" s="805">
        <f t="shared" si="0"/>
        <v>6</v>
      </c>
      <c r="L9" s="805">
        <f t="shared" si="0"/>
        <v>15</v>
      </c>
    </row>
    <row r="10" spans="1:12" ht="18" customHeight="1" x14ac:dyDescent="0.3">
      <c r="A10" s="677" t="s">
        <v>403</v>
      </c>
      <c r="B10" s="537"/>
      <c r="C10" s="537"/>
      <c r="D10" s="537"/>
      <c r="E10" s="537"/>
      <c r="F10" s="793"/>
      <c r="G10" s="793"/>
      <c r="H10" s="793"/>
      <c r="I10" s="793"/>
      <c r="J10" s="793"/>
      <c r="K10" s="793"/>
      <c r="L10" s="793"/>
    </row>
    <row r="11" spans="1:12" ht="18" hidden="1" customHeight="1" x14ac:dyDescent="0.3">
      <c r="A11" s="678" t="s">
        <v>1083</v>
      </c>
      <c r="B11" s="669">
        <v>6</v>
      </c>
      <c r="C11" s="669">
        <v>0</v>
      </c>
      <c r="D11" s="669">
        <v>1</v>
      </c>
      <c r="E11" s="669">
        <v>2</v>
      </c>
      <c r="F11" s="669">
        <v>0</v>
      </c>
      <c r="G11" s="669">
        <v>1</v>
      </c>
      <c r="H11" s="669">
        <v>0</v>
      </c>
      <c r="I11" s="669">
        <v>0</v>
      </c>
      <c r="J11" s="669">
        <v>0</v>
      </c>
      <c r="K11" s="669">
        <v>0</v>
      </c>
      <c r="L11" s="669">
        <v>0</v>
      </c>
    </row>
    <row r="12" spans="1:12" ht="18" customHeight="1" x14ac:dyDescent="0.3">
      <c r="A12" s="680" t="s">
        <v>1087</v>
      </c>
      <c r="B12" s="669">
        <v>3</v>
      </c>
      <c r="C12" s="669">
        <v>3</v>
      </c>
      <c r="D12" s="669">
        <v>4</v>
      </c>
      <c r="E12" s="669">
        <v>6</v>
      </c>
      <c r="F12" s="669">
        <v>3</v>
      </c>
      <c r="G12" s="669">
        <v>2</v>
      </c>
      <c r="H12" s="669">
        <v>4</v>
      </c>
      <c r="I12" s="669">
        <v>3</v>
      </c>
      <c r="J12" s="669">
        <v>1</v>
      </c>
      <c r="K12" s="669">
        <v>3</v>
      </c>
      <c r="L12" s="669">
        <v>3</v>
      </c>
    </row>
    <row r="13" spans="1:12" ht="18" customHeight="1" x14ac:dyDescent="0.3">
      <c r="A13" s="678" t="s">
        <v>1084</v>
      </c>
      <c r="B13" s="669">
        <v>6</v>
      </c>
      <c r="C13" s="669">
        <v>7</v>
      </c>
      <c r="D13" s="669">
        <v>2</v>
      </c>
      <c r="E13" s="669">
        <v>4</v>
      </c>
      <c r="F13" s="669">
        <v>1</v>
      </c>
      <c r="G13" s="669">
        <v>0</v>
      </c>
      <c r="H13" s="669">
        <v>2</v>
      </c>
      <c r="I13" s="669">
        <v>0</v>
      </c>
      <c r="J13" s="669">
        <v>0</v>
      </c>
      <c r="K13" s="669">
        <v>0</v>
      </c>
      <c r="L13" s="669">
        <v>0</v>
      </c>
    </row>
    <row r="14" spans="1:12" ht="18" customHeight="1" x14ac:dyDescent="0.3">
      <c r="A14" s="678" t="s">
        <v>248</v>
      </c>
      <c r="B14" s="669">
        <v>0</v>
      </c>
      <c r="C14" s="669">
        <v>0</v>
      </c>
      <c r="D14" s="669">
        <v>0</v>
      </c>
      <c r="E14" s="669">
        <v>0</v>
      </c>
      <c r="F14" s="669">
        <v>2</v>
      </c>
      <c r="G14" s="669">
        <v>7</v>
      </c>
      <c r="H14" s="669">
        <v>3</v>
      </c>
      <c r="I14" s="669">
        <v>3</v>
      </c>
      <c r="J14" s="669">
        <v>4</v>
      </c>
      <c r="K14" s="669">
        <v>4</v>
      </c>
      <c r="L14" s="669">
        <v>4</v>
      </c>
    </row>
    <row r="15" spans="1:12" ht="18" customHeight="1" x14ac:dyDescent="0.3">
      <c r="A15" s="681" t="s">
        <v>83</v>
      </c>
      <c r="B15" s="669">
        <v>4</v>
      </c>
      <c r="C15" s="669">
        <v>5</v>
      </c>
      <c r="D15" s="669">
        <v>2</v>
      </c>
      <c r="E15" s="669">
        <v>1</v>
      </c>
      <c r="F15" s="669">
        <v>3</v>
      </c>
      <c r="G15" s="669">
        <v>0</v>
      </c>
      <c r="H15" s="669">
        <v>1</v>
      </c>
      <c r="I15" s="669">
        <v>4</v>
      </c>
      <c r="J15" s="669">
        <v>2</v>
      </c>
      <c r="K15" s="669">
        <v>1</v>
      </c>
      <c r="L15" s="669">
        <v>0</v>
      </c>
    </row>
    <row r="16" spans="1:12" ht="18" customHeight="1" x14ac:dyDescent="0.3">
      <c r="A16" s="678" t="s">
        <v>1088</v>
      </c>
      <c r="B16" s="669">
        <v>4</v>
      </c>
      <c r="C16" s="669">
        <v>7</v>
      </c>
      <c r="D16" s="669">
        <v>1</v>
      </c>
      <c r="E16" s="669">
        <v>1</v>
      </c>
      <c r="F16" s="669">
        <v>3</v>
      </c>
      <c r="G16" s="669">
        <v>5</v>
      </c>
      <c r="H16" s="669">
        <v>6</v>
      </c>
      <c r="I16" s="669">
        <v>2</v>
      </c>
      <c r="J16" s="669">
        <v>3</v>
      </c>
      <c r="K16" s="669">
        <v>1</v>
      </c>
      <c r="L16" s="669">
        <v>6</v>
      </c>
    </row>
    <row r="17" spans="1:12" ht="18" customHeight="1" x14ac:dyDescent="0.3">
      <c r="A17" s="679" t="s">
        <v>961</v>
      </c>
      <c r="B17" s="541">
        <f t="shared" ref="B17:I17" si="1">SUM(B11:B16)</f>
        <v>23</v>
      </c>
      <c r="C17" s="541">
        <f t="shared" si="1"/>
        <v>22</v>
      </c>
      <c r="D17" s="541">
        <f t="shared" si="1"/>
        <v>10</v>
      </c>
      <c r="E17" s="541">
        <f t="shared" si="1"/>
        <v>14</v>
      </c>
      <c r="F17" s="805">
        <f t="shared" si="1"/>
        <v>12</v>
      </c>
      <c r="G17" s="805">
        <f t="shared" si="1"/>
        <v>15</v>
      </c>
      <c r="H17" s="805">
        <f t="shared" si="1"/>
        <v>16</v>
      </c>
      <c r="I17" s="805">
        <f t="shared" si="1"/>
        <v>12</v>
      </c>
      <c r="J17" s="805">
        <f>SUM(J11:J16)</f>
        <v>10</v>
      </c>
      <c r="K17" s="805">
        <f>SUM(K11:K16)</f>
        <v>9</v>
      </c>
      <c r="L17" s="805">
        <f>SUM(L11:L16)</f>
        <v>13</v>
      </c>
    </row>
    <row r="18" spans="1:12" ht="18" customHeight="1" x14ac:dyDescent="0.3">
      <c r="A18" s="677" t="s">
        <v>404</v>
      </c>
      <c r="B18" s="537"/>
      <c r="C18" s="537"/>
      <c r="D18" s="537"/>
      <c r="E18" s="537"/>
      <c r="F18" s="793"/>
      <c r="G18" s="793"/>
      <c r="H18" s="793"/>
      <c r="I18" s="793"/>
      <c r="J18" s="793"/>
      <c r="K18" s="793"/>
      <c r="L18" s="793"/>
    </row>
    <row r="19" spans="1:12" ht="18" customHeight="1" x14ac:dyDescent="0.3">
      <c r="A19" s="678" t="s">
        <v>996</v>
      </c>
      <c r="B19" s="669">
        <v>29</v>
      </c>
      <c r="C19" s="669">
        <v>18</v>
      </c>
      <c r="D19" s="669">
        <v>22</v>
      </c>
      <c r="E19" s="669">
        <v>20</v>
      </c>
      <c r="F19" s="669">
        <v>48</v>
      </c>
      <c r="G19" s="669">
        <v>24</v>
      </c>
      <c r="H19" s="669">
        <v>31</v>
      </c>
      <c r="I19" s="669">
        <v>32</v>
      </c>
      <c r="J19" s="669">
        <v>40</v>
      </c>
      <c r="K19" s="669">
        <v>49</v>
      </c>
      <c r="L19" s="669">
        <v>43</v>
      </c>
    </row>
    <row r="20" spans="1:12" ht="18" customHeight="1" x14ac:dyDescent="0.3">
      <c r="A20" s="678" t="s">
        <v>1318</v>
      </c>
      <c r="B20" s="669">
        <v>1</v>
      </c>
      <c r="C20" s="669">
        <v>1</v>
      </c>
      <c r="D20" s="669">
        <v>8</v>
      </c>
      <c r="E20" s="669">
        <v>8</v>
      </c>
      <c r="F20" s="669">
        <v>9</v>
      </c>
      <c r="G20" s="669">
        <v>12</v>
      </c>
      <c r="H20" s="669">
        <v>16</v>
      </c>
      <c r="I20" s="669">
        <v>19</v>
      </c>
      <c r="J20" s="669">
        <v>8</v>
      </c>
      <c r="K20" s="669">
        <v>19</v>
      </c>
      <c r="L20" s="669">
        <v>11</v>
      </c>
    </row>
    <row r="21" spans="1:12" ht="18" customHeight="1" x14ac:dyDescent="0.3">
      <c r="A21" s="679" t="s">
        <v>961</v>
      </c>
      <c r="B21" s="541">
        <f t="shared" ref="B21:I21" si="2">SUM(B19:B20)</f>
        <v>30</v>
      </c>
      <c r="C21" s="541">
        <f t="shared" si="2"/>
        <v>19</v>
      </c>
      <c r="D21" s="541">
        <f t="shared" si="2"/>
        <v>30</v>
      </c>
      <c r="E21" s="541">
        <f t="shared" si="2"/>
        <v>28</v>
      </c>
      <c r="F21" s="805">
        <f t="shared" si="2"/>
        <v>57</v>
      </c>
      <c r="G21" s="805">
        <f t="shared" si="2"/>
        <v>36</v>
      </c>
      <c r="H21" s="805">
        <f t="shared" si="2"/>
        <v>47</v>
      </c>
      <c r="I21" s="805">
        <f t="shared" si="2"/>
        <v>51</v>
      </c>
      <c r="J21" s="805">
        <f>SUM(J19:J20)</f>
        <v>48</v>
      </c>
      <c r="K21" s="805">
        <f>SUM(K19:K20)</f>
        <v>68</v>
      </c>
      <c r="L21" s="805">
        <f>SUM(L19:L20)</f>
        <v>54</v>
      </c>
    </row>
    <row r="22" spans="1:12" ht="18" customHeight="1" x14ac:dyDescent="0.3">
      <c r="A22" s="677" t="s">
        <v>405</v>
      </c>
      <c r="B22" s="537"/>
      <c r="C22" s="537"/>
      <c r="D22" s="537"/>
      <c r="E22" s="537"/>
      <c r="F22" s="793"/>
      <c r="G22" s="793"/>
      <c r="H22" s="793"/>
      <c r="I22" s="793"/>
      <c r="J22" s="793"/>
      <c r="K22" s="793"/>
      <c r="L22" s="793"/>
    </row>
    <row r="23" spans="1:12" ht="18" customHeight="1" x14ac:dyDescent="0.3">
      <c r="A23" s="678" t="s">
        <v>1058</v>
      </c>
      <c r="B23" s="669">
        <v>3</v>
      </c>
      <c r="C23" s="669">
        <v>2</v>
      </c>
      <c r="D23" s="669">
        <v>5</v>
      </c>
      <c r="E23" s="669">
        <v>10</v>
      </c>
      <c r="F23" s="669">
        <v>9</v>
      </c>
      <c r="G23" s="669">
        <v>7</v>
      </c>
      <c r="H23" s="669">
        <v>11</v>
      </c>
      <c r="I23" s="669">
        <v>12</v>
      </c>
      <c r="J23" s="669">
        <v>6</v>
      </c>
      <c r="K23" s="669">
        <v>8</v>
      </c>
      <c r="L23" s="669">
        <v>7</v>
      </c>
    </row>
    <row r="24" spans="1:12" ht="18" customHeight="1" x14ac:dyDescent="0.3">
      <c r="A24" s="678" t="s">
        <v>1060</v>
      </c>
      <c r="B24" s="669">
        <v>5</v>
      </c>
      <c r="C24" s="669">
        <v>0</v>
      </c>
      <c r="D24" s="669">
        <v>6</v>
      </c>
      <c r="E24" s="669">
        <v>4</v>
      </c>
      <c r="F24" s="669">
        <v>3</v>
      </c>
      <c r="G24" s="669">
        <v>1</v>
      </c>
      <c r="H24" s="669">
        <v>1</v>
      </c>
      <c r="I24" s="669">
        <v>1</v>
      </c>
      <c r="J24" s="669">
        <v>4</v>
      </c>
      <c r="K24" s="669">
        <v>3</v>
      </c>
      <c r="L24" s="669">
        <v>4</v>
      </c>
    </row>
    <row r="25" spans="1:12" ht="18" customHeight="1" x14ac:dyDescent="0.3">
      <c r="A25" s="679" t="s">
        <v>961</v>
      </c>
      <c r="B25" s="541">
        <f t="shared" ref="B25:I25" si="3">SUM(B23:B24)</f>
        <v>8</v>
      </c>
      <c r="C25" s="541">
        <f t="shared" si="3"/>
        <v>2</v>
      </c>
      <c r="D25" s="541">
        <f t="shared" si="3"/>
        <v>11</v>
      </c>
      <c r="E25" s="541">
        <f t="shared" si="3"/>
        <v>14</v>
      </c>
      <c r="F25" s="805">
        <f t="shared" si="3"/>
        <v>12</v>
      </c>
      <c r="G25" s="805">
        <f t="shared" si="3"/>
        <v>8</v>
      </c>
      <c r="H25" s="805">
        <f t="shared" si="3"/>
        <v>12</v>
      </c>
      <c r="I25" s="805">
        <f t="shared" si="3"/>
        <v>13</v>
      </c>
      <c r="J25" s="805">
        <f>SUM(J23:J24)</f>
        <v>10</v>
      </c>
      <c r="K25" s="805">
        <f>SUM(K23:K24)</f>
        <v>11</v>
      </c>
      <c r="L25" s="805">
        <f>SUM(L23:L24)</f>
        <v>11</v>
      </c>
    </row>
    <row r="26" spans="1:12" ht="18" customHeight="1" thickBot="1" x14ac:dyDescent="0.35">
      <c r="A26" s="682" t="s">
        <v>406</v>
      </c>
      <c r="B26" s="670">
        <f t="shared" ref="B26:I26" si="4">+B25+B21+B17+B9</f>
        <v>72</v>
      </c>
      <c r="C26" s="670">
        <f t="shared" si="4"/>
        <v>53</v>
      </c>
      <c r="D26" s="670">
        <f t="shared" si="4"/>
        <v>61</v>
      </c>
      <c r="E26" s="670">
        <f t="shared" si="4"/>
        <v>65</v>
      </c>
      <c r="F26" s="806">
        <f t="shared" si="4"/>
        <v>83</v>
      </c>
      <c r="G26" s="806">
        <f t="shared" si="4"/>
        <v>72</v>
      </c>
      <c r="H26" s="806">
        <f t="shared" si="4"/>
        <v>91</v>
      </c>
      <c r="I26" s="806">
        <f t="shared" si="4"/>
        <v>85</v>
      </c>
      <c r="J26" s="806">
        <f>+J25+J21+J17+J9</f>
        <v>87</v>
      </c>
      <c r="K26" s="806">
        <f>+K25+K21+K17+K9</f>
        <v>94</v>
      </c>
      <c r="L26" s="806">
        <f>+L25+L21+L17+L9</f>
        <v>93</v>
      </c>
    </row>
    <row r="27" spans="1:12" ht="20.25" customHeight="1" thickBot="1" x14ac:dyDescent="0.35">
      <c r="A27" s="1718" t="s">
        <v>407</v>
      </c>
      <c r="B27" s="1719"/>
      <c r="C27" s="1719"/>
      <c r="D27" s="1719"/>
      <c r="E27" s="1719"/>
      <c r="F27" s="1719"/>
      <c r="G27" s="1719"/>
      <c r="H27" s="1719"/>
      <c r="I27" s="1719"/>
      <c r="J27" s="1719"/>
      <c r="K27" s="1719"/>
      <c r="L27" s="1720"/>
    </row>
    <row r="28" spans="1:12" ht="20.25" customHeight="1" x14ac:dyDescent="0.3">
      <c r="A28" s="675" t="s">
        <v>401</v>
      </c>
      <c r="B28" s="672" t="str">
        <f>+B4</f>
        <v>2000-2001</v>
      </c>
      <c r="C28" s="673" t="str">
        <f>+C4</f>
        <v>2001-2002</v>
      </c>
      <c r="D28" s="673" t="str">
        <f>+D4</f>
        <v>2002-2003</v>
      </c>
      <c r="E28" s="673" t="str">
        <f>+E4</f>
        <v>2003-2004</v>
      </c>
      <c r="F28" s="804" t="s">
        <v>363</v>
      </c>
      <c r="G28" s="804" t="s">
        <v>583</v>
      </c>
      <c r="H28" s="804" t="s">
        <v>1363</v>
      </c>
      <c r="I28" s="804" t="s">
        <v>1388</v>
      </c>
      <c r="J28" s="804" t="s">
        <v>1389</v>
      </c>
      <c r="K28" s="804" t="s">
        <v>1377</v>
      </c>
      <c r="L28" s="1420" t="s">
        <v>1503</v>
      </c>
    </row>
    <row r="29" spans="1:12" ht="18" customHeight="1" x14ac:dyDescent="0.3">
      <c r="A29" s="677" t="s">
        <v>408</v>
      </c>
      <c r="B29" s="537"/>
      <c r="C29" s="537"/>
      <c r="D29" s="537"/>
      <c r="E29" s="537"/>
      <c r="F29" s="793"/>
      <c r="G29" s="793"/>
      <c r="H29" s="793"/>
      <c r="I29" s="793"/>
      <c r="J29" s="793"/>
      <c r="K29" s="793"/>
      <c r="L29" s="793"/>
    </row>
    <row r="30" spans="1:12" ht="18" customHeight="1" x14ac:dyDescent="0.3">
      <c r="A30" s="678" t="s">
        <v>1075</v>
      </c>
      <c r="B30" s="669">
        <v>10</v>
      </c>
      <c r="C30" s="669">
        <v>12</v>
      </c>
      <c r="D30" s="669">
        <v>23</v>
      </c>
      <c r="E30" s="669">
        <v>22</v>
      </c>
      <c r="F30" s="669">
        <v>14</v>
      </c>
      <c r="G30" s="669">
        <v>9</v>
      </c>
      <c r="H30" s="669">
        <v>10</v>
      </c>
      <c r="I30" s="669">
        <v>22</v>
      </c>
      <c r="J30" s="669">
        <v>8</v>
      </c>
      <c r="K30" s="669">
        <v>10</v>
      </c>
      <c r="L30" s="669">
        <v>11</v>
      </c>
    </row>
    <row r="31" spans="1:12" ht="18" customHeight="1" x14ac:dyDescent="0.3">
      <c r="A31" s="678" t="s">
        <v>1016</v>
      </c>
      <c r="B31" s="1007"/>
      <c r="C31" s="1007"/>
      <c r="D31" s="1007"/>
      <c r="E31" s="1007"/>
      <c r="F31" s="1008">
        <v>0</v>
      </c>
      <c r="G31" s="1008">
        <v>0</v>
      </c>
      <c r="H31" s="1008">
        <v>3</v>
      </c>
      <c r="I31" s="1008">
        <v>3</v>
      </c>
      <c r="J31" s="1008">
        <v>6</v>
      </c>
      <c r="K31" s="1008">
        <v>5</v>
      </c>
      <c r="L31" s="1008">
        <v>9</v>
      </c>
    </row>
    <row r="32" spans="1:12" ht="18" customHeight="1" x14ac:dyDescent="0.3">
      <c r="A32" s="679" t="s">
        <v>961</v>
      </c>
      <c r="B32" s="541">
        <f>SUM(B30:B30)</f>
        <v>10</v>
      </c>
      <c r="C32" s="541">
        <f>SUM(C30:C30)</f>
        <v>12</v>
      </c>
      <c r="D32" s="541">
        <f>SUM(D30:D30)</f>
        <v>23</v>
      </c>
      <c r="E32" s="541">
        <f>SUM(E30:E30)</f>
        <v>22</v>
      </c>
      <c r="F32" s="805">
        <f t="shared" ref="F32:L32" si="5">+F31+F30</f>
        <v>14</v>
      </c>
      <c r="G32" s="805">
        <f t="shared" si="5"/>
        <v>9</v>
      </c>
      <c r="H32" s="805">
        <f t="shared" si="5"/>
        <v>13</v>
      </c>
      <c r="I32" s="805">
        <f t="shared" si="5"/>
        <v>25</v>
      </c>
      <c r="J32" s="805">
        <f t="shared" si="5"/>
        <v>14</v>
      </c>
      <c r="K32" s="805">
        <f t="shared" si="5"/>
        <v>15</v>
      </c>
      <c r="L32" s="805">
        <f t="shared" si="5"/>
        <v>20</v>
      </c>
    </row>
    <row r="33" spans="1:12" ht="18" customHeight="1" x14ac:dyDescent="0.3">
      <c r="A33" s="677" t="s">
        <v>409</v>
      </c>
      <c r="B33" s="537"/>
      <c r="C33" s="537"/>
      <c r="D33" s="537"/>
      <c r="E33" s="537"/>
      <c r="F33" s="793"/>
      <c r="G33" s="793"/>
      <c r="H33" s="793"/>
      <c r="I33" s="793"/>
      <c r="J33" s="793"/>
      <c r="K33" s="793"/>
      <c r="L33" s="793"/>
    </row>
    <row r="34" spans="1:12" ht="18" customHeight="1" x14ac:dyDescent="0.3">
      <c r="A34" s="678" t="s">
        <v>1079</v>
      </c>
      <c r="B34" s="669">
        <v>8</v>
      </c>
      <c r="C34" s="669">
        <v>4</v>
      </c>
      <c r="D34" s="669">
        <v>4</v>
      </c>
      <c r="E34" s="669">
        <v>7</v>
      </c>
      <c r="F34" s="669">
        <v>16</v>
      </c>
      <c r="G34" s="669">
        <v>4</v>
      </c>
      <c r="H34" s="669">
        <v>6</v>
      </c>
      <c r="I34" s="669">
        <v>9</v>
      </c>
      <c r="J34" s="669">
        <v>8</v>
      </c>
      <c r="K34" s="669">
        <v>7</v>
      </c>
      <c r="L34" s="669">
        <v>8</v>
      </c>
    </row>
    <row r="35" spans="1:12" ht="18" customHeight="1" x14ac:dyDescent="0.3">
      <c r="A35" s="678" t="s">
        <v>717</v>
      </c>
      <c r="B35" s="669">
        <v>1</v>
      </c>
      <c r="C35" s="669">
        <v>1</v>
      </c>
      <c r="D35" s="669">
        <v>5</v>
      </c>
      <c r="E35" s="669">
        <v>2</v>
      </c>
      <c r="F35" s="669">
        <v>0</v>
      </c>
      <c r="G35" s="669">
        <v>0</v>
      </c>
      <c r="H35" s="669">
        <v>2</v>
      </c>
      <c r="I35" s="669">
        <v>1</v>
      </c>
      <c r="J35" s="669">
        <v>0</v>
      </c>
      <c r="K35" s="669">
        <v>0</v>
      </c>
      <c r="L35" s="669">
        <v>0</v>
      </c>
    </row>
    <row r="36" spans="1:12" ht="18" customHeight="1" x14ac:dyDescent="0.3">
      <c r="A36" s="678" t="s">
        <v>817</v>
      </c>
      <c r="B36" s="669"/>
      <c r="C36" s="669"/>
      <c r="D36" s="669"/>
      <c r="E36" s="669"/>
      <c r="F36" s="669">
        <v>0</v>
      </c>
      <c r="G36" s="669">
        <v>0</v>
      </c>
      <c r="H36" s="669">
        <v>0</v>
      </c>
      <c r="I36" s="669">
        <v>0</v>
      </c>
      <c r="J36" s="669">
        <v>3</v>
      </c>
      <c r="K36" s="669">
        <v>2</v>
      </c>
      <c r="L36" s="669">
        <v>4</v>
      </c>
    </row>
    <row r="37" spans="1:12" ht="18" hidden="1" customHeight="1" x14ac:dyDescent="0.3">
      <c r="A37" s="678" t="s">
        <v>1092</v>
      </c>
      <c r="B37" s="669">
        <v>3</v>
      </c>
      <c r="C37" s="669">
        <v>3</v>
      </c>
      <c r="D37" s="669">
        <v>7</v>
      </c>
      <c r="E37" s="669">
        <v>0</v>
      </c>
      <c r="F37" s="669">
        <v>0</v>
      </c>
      <c r="G37" s="669">
        <v>0</v>
      </c>
      <c r="H37" s="669">
        <v>0</v>
      </c>
      <c r="I37" s="669">
        <v>0</v>
      </c>
      <c r="J37" s="669">
        <v>0</v>
      </c>
      <c r="K37" s="669">
        <v>0</v>
      </c>
      <c r="L37" s="669">
        <v>0</v>
      </c>
    </row>
    <row r="38" spans="1:12" ht="18" customHeight="1" x14ac:dyDescent="0.3">
      <c r="A38" s="678" t="s">
        <v>1080</v>
      </c>
      <c r="B38" s="669">
        <v>0</v>
      </c>
      <c r="C38" s="669">
        <v>1</v>
      </c>
      <c r="D38" s="669">
        <v>4</v>
      </c>
      <c r="E38" s="669">
        <v>6</v>
      </c>
      <c r="F38" s="669">
        <v>1</v>
      </c>
      <c r="G38" s="669">
        <v>5</v>
      </c>
      <c r="H38" s="669">
        <v>2</v>
      </c>
      <c r="I38" s="669">
        <v>0</v>
      </c>
      <c r="J38" s="669">
        <v>3</v>
      </c>
      <c r="K38" s="669">
        <v>5</v>
      </c>
      <c r="L38" s="669">
        <v>6</v>
      </c>
    </row>
    <row r="39" spans="1:12" ht="18" customHeight="1" x14ac:dyDescent="0.3">
      <c r="A39" s="679" t="s">
        <v>961</v>
      </c>
      <c r="B39" s="541">
        <f t="shared" ref="B39:I39" si="6">SUM(B34:B38)</f>
        <v>12</v>
      </c>
      <c r="C39" s="541">
        <f t="shared" si="6"/>
        <v>9</v>
      </c>
      <c r="D39" s="541">
        <f t="shared" si="6"/>
        <v>20</v>
      </c>
      <c r="E39" s="541">
        <f t="shared" si="6"/>
        <v>15</v>
      </c>
      <c r="F39" s="805">
        <f t="shared" si="6"/>
        <v>17</v>
      </c>
      <c r="G39" s="805">
        <f t="shared" si="6"/>
        <v>9</v>
      </c>
      <c r="H39" s="805">
        <f t="shared" si="6"/>
        <v>10</v>
      </c>
      <c r="I39" s="805">
        <f t="shared" si="6"/>
        <v>10</v>
      </c>
      <c r="J39" s="805">
        <f>SUM(J34:J38)</f>
        <v>14</v>
      </c>
      <c r="K39" s="805">
        <f>SUM(K34:K38)</f>
        <v>14</v>
      </c>
      <c r="L39" s="805">
        <f>SUM(L34:L38)</f>
        <v>18</v>
      </c>
    </row>
    <row r="40" spans="1:12" ht="18" customHeight="1" x14ac:dyDescent="0.3">
      <c r="A40" s="677" t="s">
        <v>410</v>
      </c>
      <c r="B40" s="537"/>
      <c r="C40" s="537"/>
      <c r="D40" s="537"/>
      <c r="E40" s="537"/>
      <c r="F40" s="793"/>
      <c r="G40" s="793"/>
      <c r="H40" s="793"/>
      <c r="I40" s="793"/>
      <c r="J40" s="793"/>
      <c r="K40" s="793"/>
      <c r="L40" s="793"/>
    </row>
    <row r="41" spans="1:12" ht="18" customHeight="1" x14ac:dyDescent="0.3">
      <c r="A41" s="678" t="s">
        <v>1076</v>
      </c>
      <c r="B41" s="669">
        <v>13</v>
      </c>
      <c r="C41" s="669">
        <v>12</v>
      </c>
      <c r="D41" s="669">
        <v>14</v>
      </c>
      <c r="E41" s="669">
        <v>23</v>
      </c>
      <c r="F41" s="669">
        <v>21</v>
      </c>
      <c r="G41" s="669">
        <v>11</v>
      </c>
      <c r="H41" s="669">
        <v>14</v>
      </c>
      <c r="I41" s="669">
        <v>11</v>
      </c>
      <c r="J41" s="669">
        <v>19</v>
      </c>
      <c r="K41" s="669">
        <v>11</v>
      </c>
      <c r="L41" s="669">
        <v>23</v>
      </c>
    </row>
    <row r="42" spans="1:12" ht="18" customHeight="1" x14ac:dyDescent="0.3">
      <c r="A42" s="678" t="s">
        <v>718</v>
      </c>
      <c r="B42" s="669">
        <v>0</v>
      </c>
      <c r="C42" s="669">
        <v>0</v>
      </c>
      <c r="D42" s="669">
        <v>0</v>
      </c>
      <c r="E42" s="669">
        <v>0</v>
      </c>
      <c r="F42" s="669">
        <v>0</v>
      </c>
      <c r="G42" s="669">
        <v>0</v>
      </c>
      <c r="H42" s="669">
        <v>1</v>
      </c>
      <c r="I42" s="669">
        <v>0</v>
      </c>
      <c r="J42" s="669">
        <v>0</v>
      </c>
      <c r="K42" s="669">
        <v>0</v>
      </c>
      <c r="L42" s="669">
        <v>0</v>
      </c>
    </row>
    <row r="43" spans="1:12" ht="18" customHeight="1" x14ac:dyDescent="0.3">
      <c r="A43" s="679" t="s">
        <v>961</v>
      </c>
      <c r="B43" s="541">
        <f t="shared" ref="B43:I43" si="7">+B42+B41</f>
        <v>13</v>
      </c>
      <c r="C43" s="541">
        <f t="shared" si="7"/>
        <v>12</v>
      </c>
      <c r="D43" s="541">
        <f t="shared" si="7"/>
        <v>14</v>
      </c>
      <c r="E43" s="541">
        <f t="shared" si="7"/>
        <v>23</v>
      </c>
      <c r="F43" s="805">
        <f t="shared" si="7"/>
        <v>21</v>
      </c>
      <c r="G43" s="805">
        <f t="shared" si="7"/>
        <v>11</v>
      </c>
      <c r="H43" s="805">
        <f t="shared" si="7"/>
        <v>15</v>
      </c>
      <c r="I43" s="805">
        <f t="shared" si="7"/>
        <v>11</v>
      </c>
      <c r="J43" s="805">
        <f>+J42+J41</f>
        <v>19</v>
      </c>
      <c r="K43" s="805">
        <f>+K42+K41</f>
        <v>11</v>
      </c>
      <c r="L43" s="805">
        <f>+L42+L41</f>
        <v>23</v>
      </c>
    </row>
    <row r="44" spans="1:12" ht="18" customHeight="1" x14ac:dyDescent="0.3">
      <c r="A44" s="677" t="s">
        <v>411</v>
      </c>
      <c r="B44" s="537"/>
      <c r="C44" s="537"/>
      <c r="D44" s="537"/>
      <c r="E44" s="537"/>
      <c r="F44" s="793"/>
      <c r="G44" s="793"/>
      <c r="H44" s="793"/>
      <c r="I44" s="793"/>
      <c r="J44" s="793"/>
      <c r="K44" s="793"/>
      <c r="L44" s="793"/>
    </row>
    <row r="45" spans="1:12" ht="18" customHeight="1" x14ac:dyDescent="0.3">
      <c r="A45" s="678" t="s">
        <v>1070</v>
      </c>
      <c r="B45" s="669">
        <v>14</v>
      </c>
      <c r="C45" s="669">
        <v>21</v>
      </c>
      <c r="D45" s="669">
        <v>19</v>
      </c>
      <c r="E45" s="669">
        <v>25</v>
      </c>
      <c r="F45" s="669">
        <v>16</v>
      </c>
      <c r="G45" s="669">
        <v>23</v>
      </c>
      <c r="H45" s="669">
        <v>31</v>
      </c>
      <c r="I45" s="669">
        <v>27</v>
      </c>
      <c r="J45" s="669">
        <v>23</v>
      </c>
      <c r="K45" s="669">
        <v>23</v>
      </c>
      <c r="L45" s="669">
        <v>32</v>
      </c>
    </row>
    <row r="46" spans="1:12" ht="18" customHeight="1" x14ac:dyDescent="0.3">
      <c r="A46" s="678" t="s">
        <v>1071</v>
      </c>
      <c r="B46" s="669">
        <v>2</v>
      </c>
      <c r="C46" s="669">
        <v>2</v>
      </c>
      <c r="D46" s="669">
        <v>3</v>
      </c>
      <c r="E46" s="669">
        <v>2</v>
      </c>
      <c r="F46" s="669">
        <v>1</v>
      </c>
      <c r="G46" s="669">
        <v>2</v>
      </c>
      <c r="H46" s="669">
        <v>2</v>
      </c>
      <c r="I46" s="669">
        <v>4</v>
      </c>
      <c r="J46" s="669">
        <v>3</v>
      </c>
      <c r="K46" s="669">
        <v>6</v>
      </c>
      <c r="L46" s="669">
        <v>3</v>
      </c>
    </row>
    <row r="47" spans="1:12" ht="18" customHeight="1" x14ac:dyDescent="0.3">
      <c r="A47" s="679" t="s">
        <v>961</v>
      </c>
      <c r="B47" s="541">
        <f t="shared" ref="B47:I47" si="8">SUM(B45:B46)</f>
        <v>16</v>
      </c>
      <c r="C47" s="541">
        <f t="shared" si="8"/>
        <v>23</v>
      </c>
      <c r="D47" s="541">
        <f t="shared" si="8"/>
        <v>22</v>
      </c>
      <c r="E47" s="541">
        <f t="shared" si="8"/>
        <v>27</v>
      </c>
      <c r="F47" s="805">
        <f t="shared" si="8"/>
        <v>17</v>
      </c>
      <c r="G47" s="805">
        <f t="shared" si="8"/>
        <v>25</v>
      </c>
      <c r="H47" s="805">
        <f t="shared" si="8"/>
        <v>33</v>
      </c>
      <c r="I47" s="805">
        <f t="shared" si="8"/>
        <v>31</v>
      </c>
      <c r="J47" s="805">
        <f>SUM(J45:J46)</f>
        <v>26</v>
      </c>
      <c r="K47" s="805">
        <f>SUM(K45:K46)</f>
        <v>29</v>
      </c>
      <c r="L47" s="805">
        <f>SUM(L45:L46)</f>
        <v>35</v>
      </c>
    </row>
    <row r="48" spans="1:12" ht="18" customHeight="1" x14ac:dyDescent="0.3">
      <c r="A48" s="677" t="s">
        <v>413</v>
      </c>
      <c r="B48" s="537"/>
      <c r="C48" s="537"/>
      <c r="D48" s="537"/>
      <c r="E48" s="537"/>
      <c r="F48" s="793"/>
      <c r="G48" s="793"/>
      <c r="H48" s="793"/>
      <c r="I48" s="793"/>
      <c r="J48" s="793"/>
      <c r="K48" s="793"/>
      <c r="L48" s="793"/>
    </row>
    <row r="49" spans="1:12" ht="18" customHeight="1" x14ac:dyDescent="0.3">
      <c r="A49" s="678" t="s">
        <v>1072</v>
      </c>
      <c r="B49" s="669">
        <v>9</v>
      </c>
      <c r="C49" s="669">
        <v>3</v>
      </c>
      <c r="D49" s="669">
        <v>2</v>
      </c>
      <c r="E49" s="669">
        <v>7</v>
      </c>
      <c r="F49" s="669">
        <v>6</v>
      </c>
      <c r="G49" s="669">
        <v>3</v>
      </c>
      <c r="H49" s="669">
        <v>8</v>
      </c>
      <c r="I49" s="669">
        <v>4</v>
      </c>
      <c r="J49" s="669">
        <v>4</v>
      </c>
      <c r="K49" s="669">
        <v>5</v>
      </c>
      <c r="L49" s="669">
        <v>3</v>
      </c>
    </row>
    <row r="50" spans="1:12" ht="18" customHeight="1" x14ac:dyDescent="0.3">
      <c r="A50" s="678" t="s">
        <v>1073</v>
      </c>
      <c r="B50" s="669">
        <v>1</v>
      </c>
      <c r="C50" s="669">
        <v>4</v>
      </c>
      <c r="D50" s="669">
        <v>4</v>
      </c>
      <c r="E50" s="669">
        <v>0</v>
      </c>
      <c r="F50" s="669">
        <v>0</v>
      </c>
      <c r="G50" s="669">
        <v>0</v>
      </c>
      <c r="H50" s="669">
        <v>0</v>
      </c>
      <c r="I50" s="669">
        <v>3</v>
      </c>
      <c r="J50" s="669">
        <v>2</v>
      </c>
      <c r="K50" s="669">
        <v>2</v>
      </c>
      <c r="L50" s="669">
        <v>2</v>
      </c>
    </row>
    <row r="51" spans="1:12" ht="18" customHeight="1" x14ac:dyDescent="0.3">
      <c r="A51" s="679" t="s">
        <v>961</v>
      </c>
      <c r="B51" s="541">
        <f t="shared" ref="B51:I51" si="9">+B50+B49</f>
        <v>10</v>
      </c>
      <c r="C51" s="541">
        <f t="shared" si="9"/>
        <v>7</v>
      </c>
      <c r="D51" s="541">
        <f t="shared" si="9"/>
        <v>6</v>
      </c>
      <c r="E51" s="541">
        <f t="shared" si="9"/>
        <v>7</v>
      </c>
      <c r="F51" s="805">
        <f t="shared" si="9"/>
        <v>6</v>
      </c>
      <c r="G51" s="805">
        <f t="shared" si="9"/>
        <v>3</v>
      </c>
      <c r="H51" s="805">
        <f t="shared" si="9"/>
        <v>8</v>
      </c>
      <c r="I51" s="805">
        <f t="shared" si="9"/>
        <v>7</v>
      </c>
      <c r="J51" s="805">
        <f>+J50+J49</f>
        <v>6</v>
      </c>
      <c r="K51" s="805">
        <f>+K50+K49</f>
        <v>7</v>
      </c>
      <c r="L51" s="805">
        <f>+L50+L49</f>
        <v>5</v>
      </c>
    </row>
    <row r="52" spans="1:12" ht="18" customHeight="1" thickBot="1" x14ac:dyDescent="0.35">
      <c r="A52" s="689" t="s">
        <v>414</v>
      </c>
      <c r="B52" s="690">
        <f t="shared" ref="B52:I52" si="10">+B51+B47+B43+B39+B32</f>
        <v>61</v>
      </c>
      <c r="C52" s="690">
        <f t="shared" si="10"/>
        <v>63</v>
      </c>
      <c r="D52" s="690">
        <f t="shared" si="10"/>
        <v>85</v>
      </c>
      <c r="E52" s="690">
        <f t="shared" si="10"/>
        <v>94</v>
      </c>
      <c r="F52" s="722">
        <f t="shared" si="10"/>
        <v>75</v>
      </c>
      <c r="G52" s="722">
        <f t="shared" si="10"/>
        <v>57</v>
      </c>
      <c r="H52" s="722">
        <f t="shared" si="10"/>
        <v>79</v>
      </c>
      <c r="I52" s="722">
        <f t="shared" si="10"/>
        <v>84</v>
      </c>
      <c r="J52" s="722">
        <f>+J51+J47+J43+J39+J32</f>
        <v>79</v>
      </c>
      <c r="K52" s="722">
        <f>+K51+K47+K43+K39+K32</f>
        <v>76</v>
      </c>
      <c r="L52" s="722">
        <f>+L51+L47+L43+L39+L32</f>
        <v>101</v>
      </c>
    </row>
    <row r="53" spans="1:12" ht="20.25" customHeight="1" thickBot="1" x14ac:dyDescent="0.35">
      <c r="A53" s="1718" t="s">
        <v>415</v>
      </c>
      <c r="B53" s="1719"/>
      <c r="C53" s="1719"/>
      <c r="D53" s="1719"/>
      <c r="E53" s="1719"/>
      <c r="F53" s="1719"/>
      <c r="G53" s="1719"/>
      <c r="H53" s="1719"/>
      <c r="I53" s="1719"/>
      <c r="J53" s="1719"/>
      <c r="K53" s="1719"/>
      <c r="L53" s="1720"/>
    </row>
    <row r="54" spans="1:12" ht="20.25" customHeight="1" x14ac:dyDescent="0.3">
      <c r="A54" s="675" t="s">
        <v>401</v>
      </c>
      <c r="B54" s="671" t="s">
        <v>738</v>
      </c>
      <c r="C54" s="671" t="s">
        <v>596</v>
      </c>
      <c r="D54" s="671" t="s">
        <v>1306</v>
      </c>
      <c r="E54" s="671" t="s">
        <v>1052</v>
      </c>
      <c r="F54" s="804" t="s">
        <v>363</v>
      </c>
      <c r="G54" s="804" t="s">
        <v>583</v>
      </c>
      <c r="H54" s="804" t="s">
        <v>1363</v>
      </c>
      <c r="I54" s="804" t="s">
        <v>1388</v>
      </c>
      <c r="J54" s="804" t="s">
        <v>1389</v>
      </c>
      <c r="K54" s="804" t="s">
        <v>1377</v>
      </c>
      <c r="L54" s="1420" t="s">
        <v>1503</v>
      </c>
    </row>
    <row r="55" spans="1:12" ht="18" customHeight="1" x14ac:dyDescent="0.3">
      <c r="A55" s="677" t="s">
        <v>970</v>
      </c>
      <c r="B55" s="537"/>
      <c r="C55" s="537"/>
      <c r="D55" s="537"/>
      <c r="E55" s="537"/>
      <c r="F55" s="793"/>
      <c r="G55" s="793"/>
      <c r="H55" s="793"/>
      <c r="I55" s="793"/>
      <c r="J55" s="793"/>
      <c r="K55" s="793"/>
      <c r="L55" s="793"/>
    </row>
    <row r="56" spans="1:12" ht="18" customHeight="1" x14ac:dyDescent="0.3">
      <c r="A56" s="678" t="s">
        <v>1113</v>
      </c>
      <c r="B56" s="669">
        <v>6</v>
      </c>
      <c r="C56" s="669">
        <v>1</v>
      </c>
      <c r="D56" s="669">
        <v>10</v>
      </c>
      <c r="E56" s="669">
        <v>10</v>
      </c>
      <c r="F56" s="669">
        <v>4</v>
      </c>
      <c r="G56" s="669">
        <v>9</v>
      </c>
      <c r="H56" s="669">
        <v>6</v>
      </c>
      <c r="I56" s="669">
        <v>17</v>
      </c>
      <c r="J56" s="669">
        <v>4</v>
      </c>
      <c r="K56" s="669">
        <v>13</v>
      </c>
      <c r="L56" s="669">
        <v>4</v>
      </c>
    </row>
    <row r="57" spans="1:12" ht="18" customHeight="1" x14ac:dyDescent="0.3">
      <c r="A57" s="678" t="s">
        <v>1114</v>
      </c>
      <c r="B57" s="669">
        <v>10</v>
      </c>
      <c r="C57" s="669">
        <v>10</v>
      </c>
      <c r="D57" s="669">
        <v>16</v>
      </c>
      <c r="E57" s="669">
        <v>17</v>
      </c>
      <c r="F57" s="669">
        <v>25</v>
      </c>
      <c r="G57" s="669">
        <v>23</v>
      </c>
      <c r="H57" s="669">
        <v>30</v>
      </c>
      <c r="I57" s="669">
        <v>28</v>
      </c>
      <c r="J57" s="669">
        <v>24</v>
      </c>
      <c r="K57" s="669">
        <v>24</v>
      </c>
      <c r="L57" s="669">
        <v>18</v>
      </c>
    </row>
    <row r="58" spans="1:12" ht="18" customHeight="1" x14ac:dyDescent="0.3">
      <c r="A58" s="678" t="s">
        <v>512</v>
      </c>
      <c r="B58" s="669">
        <v>1</v>
      </c>
      <c r="C58" s="669">
        <v>6</v>
      </c>
      <c r="D58" s="669">
        <v>1</v>
      </c>
      <c r="E58" s="669">
        <v>0</v>
      </c>
      <c r="F58" s="669">
        <v>0</v>
      </c>
      <c r="G58" s="669">
        <v>0</v>
      </c>
      <c r="H58" s="669">
        <v>1</v>
      </c>
      <c r="I58" s="669">
        <v>5</v>
      </c>
      <c r="J58" s="669">
        <v>1</v>
      </c>
      <c r="K58" s="669">
        <v>0</v>
      </c>
      <c r="L58" s="669">
        <v>0</v>
      </c>
    </row>
    <row r="59" spans="1:12" ht="18" customHeight="1" x14ac:dyDescent="0.3">
      <c r="A59" s="678" t="s">
        <v>1115</v>
      </c>
      <c r="B59" s="669">
        <v>25</v>
      </c>
      <c r="C59" s="669">
        <v>28</v>
      </c>
      <c r="D59" s="669">
        <v>30</v>
      </c>
      <c r="E59" s="669">
        <v>26</v>
      </c>
      <c r="F59" s="669">
        <v>27</v>
      </c>
      <c r="G59" s="669">
        <v>18</v>
      </c>
      <c r="H59" s="669">
        <v>19</v>
      </c>
      <c r="I59" s="669">
        <v>21</v>
      </c>
      <c r="J59" s="669">
        <v>28</v>
      </c>
      <c r="K59" s="669">
        <v>19</v>
      </c>
      <c r="L59" s="669">
        <v>23</v>
      </c>
    </row>
    <row r="60" spans="1:12" ht="18" customHeight="1" x14ac:dyDescent="0.3">
      <c r="A60" s="678" t="s">
        <v>1116</v>
      </c>
      <c r="B60" s="669">
        <v>11</v>
      </c>
      <c r="C60" s="669">
        <v>24</v>
      </c>
      <c r="D60" s="669">
        <v>22</v>
      </c>
      <c r="E60" s="669">
        <v>32</v>
      </c>
      <c r="F60" s="669">
        <v>4</v>
      </c>
      <c r="G60" s="669">
        <v>5</v>
      </c>
      <c r="H60" s="669">
        <v>3</v>
      </c>
      <c r="I60" s="669">
        <v>2</v>
      </c>
      <c r="J60" s="669">
        <v>1</v>
      </c>
      <c r="K60" s="669">
        <v>0</v>
      </c>
      <c r="L60" s="669">
        <v>0</v>
      </c>
    </row>
    <row r="61" spans="1:12" ht="18" customHeight="1" x14ac:dyDescent="0.3">
      <c r="A61" s="678" t="s">
        <v>818</v>
      </c>
      <c r="B61" s="669"/>
      <c r="C61" s="669"/>
      <c r="D61" s="669"/>
      <c r="E61" s="669"/>
      <c r="F61" s="669">
        <v>0</v>
      </c>
      <c r="G61" s="669">
        <v>0</v>
      </c>
      <c r="H61" s="669">
        <v>10</v>
      </c>
      <c r="I61" s="669">
        <v>12</v>
      </c>
      <c r="J61" s="669">
        <v>6</v>
      </c>
      <c r="K61" s="669">
        <v>5</v>
      </c>
      <c r="L61" s="669">
        <v>9</v>
      </c>
    </row>
    <row r="62" spans="1:12" ht="18" customHeight="1" x14ac:dyDescent="0.3">
      <c r="A62" s="678" t="s">
        <v>1117</v>
      </c>
      <c r="B62" s="669">
        <v>4</v>
      </c>
      <c r="C62" s="669">
        <v>7</v>
      </c>
      <c r="D62" s="669">
        <v>1</v>
      </c>
      <c r="E62" s="669">
        <v>3</v>
      </c>
      <c r="F62" s="669">
        <v>8</v>
      </c>
      <c r="G62" s="669">
        <v>6</v>
      </c>
      <c r="H62" s="669">
        <v>14</v>
      </c>
      <c r="I62" s="669">
        <v>9</v>
      </c>
      <c r="J62" s="669">
        <v>8</v>
      </c>
      <c r="K62" s="669">
        <v>11</v>
      </c>
      <c r="L62" s="669">
        <v>16</v>
      </c>
    </row>
    <row r="63" spans="1:12" ht="18" customHeight="1" x14ac:dyDescent="0.3">
      <c r="A63" s="679" t="s">
        <v>961</v>
      </c>
      <c r="B63" s="541">
        <f t="shared" ref="B63:I63" si="11">SUM(B56:B62)</f>
        <v>57</v>
      </c>
      <c r="C63" s="541">
        <f t="shared" si="11"/>
        <v>76</v>
      </c>
      <c r="D63" s="541">
        <f t="shared" si="11"/>
        <v>80</v>
      </c>
      <c r="E63" s="541">
        <f t="shared" si="11"/>
        <v>88</v>
      </c>
      <c r="F63" s="805">
        <f t="shared" si="11"/>
        <v>68</v>
      </c>
      <c r="G63" s="805">
        <f t="shared" si="11"/>
        <v>61</v>
      </c>
      <c r="H63" s="805">
        <f t="shared" si="11"/>
        <v>83</v>
      </c>
      <c r="I63" s="805">
        <f t="shared" si="11"/>
        <v>94</v>
      </c>
      <c r="J63" s="805">
        <f>SUM(J56:J62)</f>
        <v>72</v>
      </c>
      <c r="K63" s="805">
        <f>SUM(K56:K62)</f>
        <v>72</v>
      </c>
      <c r="L63" s="805">
        <f>SUM(L56:L62)</f>
        <v>70</v>
      </c>
    </row>
    <row r="64" spans="1:12" ht="18" customHeight="1" x14ac:dyDescent="0.3">
      <c r="A64" s="677" t="s">
        <v>416</v>
      </c>
      <c r="B64" s="537"/>
      <c r="C64" s="537"/>
      <c r="D64" s="537"/>
      <c r="E64" s="537"/>
      <c r="F64" s="793"/>
      <c r="G64" s="793"/>
      <c r="H64" s="793"/>
      <c r="I64" s="793"/>
      <c r="J64" s="793"/>
      <c r="K64" s="793"/>
      <c r="L64" s="793"/>
    </row>
    <row r="65" spans="1:12" ht="18" customHeight="1" x14ac:dyDescent="0.3">
      <c r="A65" s="678" t="s">
        <v>579</v>
      </c>
      <c r="B65" s="669">
        <v>0</v>
      </c>
      <c r="C65" s="669">
        <v>0</v>
      </c>
      <c r="D65" s="669">
        <v>1</v>
      </c>
      <c r="E65" s="669">
        <v>1</v>
      </c>
      <c r="F65" s="669">
        <v>3</v>
      </c>
      <c r="G65" s="669">
        <v>1</v>
      </c>
      <c r="H65" s="669">
        <v>2</v>
      </c>
      <c r="I65" s="669">
        <v>2</v>
      </c>
      <c r="J65" s="669">
        <v>2</v>
      </c>
      <c r="K65" s="669">
        <v>1</v>
      </c>
      <c r="L65" s="669">
        <v>3</v>
      </c>
    </row>
    <row r="66" spans="1:12" ht="18" customHeight="1" x14ac:dyDescent="0.3">
      <c r="A66" s="678" t="s">
        <v>1144</v>
      </c>
      <c r="B66" s="669">
        <v>2</v>
      </c>
      <c r="C66" s="669">
        <v>2</v>
      </c>
      <c r="D66" s="669">
        <v>21</v>
      </c>
      <c r="E66" s="669">
        <v>16</v>
      </c>
      <c r="F66" s="669">
        <v>30</v>
      </c>
      <c r="G66" s="669">
        <v>31</v>
      </c>
      <c r="H66" s="669">
        <v>26</v>
      </c>
      <c r="I66" s="669">
        <v>18</v>
      </c>
      <c r="J66" s="669">
        <v>37</v>
      </c>
      <c r="K66" s="669">
        <v>41</v>
      </c>
      <c r="L66" s="669">
        <v>29</v>
      </c>
    </row>
    <row r="67" spans="1:12" ht="18" hidden="1" customHeight="1" x14ac:dyDescent="0.3">
      <c r="A67" s="678" t="s">
        <v>1145</v>
      </c>
      <c r="B67" s="669">
        <v>2</v>
      </c>
      <c r="C67" s="669">
        <v>1</v>
      </c>
      <c r="D67" s="669">
        <v>1</v>
      </c>
      <c r="E67" s="669">
        <v>0</v>
      </c>
      <c r="F67" s="669">
        <v>0</v>
      </c>
      <c r="G67" s="669">
        <v>0</v>
      </c>
      <c r="H67" s="669">
        <v>0</v>
      </c>
      <c r="I67" s="669">
        <v>0</v>
      </c>
      <c r="J67" s="669">
        <v>0</v>
      </c>
      <c r="K67" s="669">
        <v>0</v>
      </c>
      <c r="L67" s="669">
        <v>0</v>
      </c>
    </row>
    <row r="68" spans="1:12" ht="18" hidden="1" customHeight="1" x14ac:dyDescent="0.3">
      <c r="A68" s="678" t="s">
        <v>1095</v>
      </c>
      <c r="B68" s="669">
        <v>2</v>
      </c>
      <c r="C68" s="669">
        <v>1</v>
      </c>
      <c r="D68" s="669">
        <v>2</v>
      </c>
      <c r="E68" s="669">
        <v>0</v>
      </c>
      <c r="F68" s="669">
        <v>0</v>
      </c>
      <c r="G68" s="669">
        <v>0</v>
      </c>
      <c r="H68" s="669">
        <v>0</v>
      </c>
      <c r="I68" s="669">
        <v>0</v>
      </c>
      <c r="J68" s="669">
        <v>0</v>
      </c>
      <c r="K68" s="669">
        <v>0</v>
      </c>
      <c r="L68" s="669">
        <v>0</v>
      </c>
    </row>
    <row r="69" spans="1:12" ht="18" hidden="1" customHeight="1" x14ac:dyDescent="0.3">
      <c r="A69" s="678" t="s">
        <v>1096</v>
      </c>
      <c r="B69" s="669">
        <v>18</v>
      </c>
      <c r="C69" s="669">
        <v>16</v>
      </c>
      <c r="D69" s="669">
        <v>5</v>
      </c>
      <c r="E69" s="669">
        <v>0</v>
      </c>
      <c r="F69" s="669">
        <v>0</v>
      </c>
      <c r="G69" s="669">
        <v>0</v>
      </c>
      <c r="H69" s="669">
        <v>0</v>
      </c>
      <c r="I69" s="669">
        <v>0</v>
      </c>
      <c r="J69" s="669">
        <v>0</v>
      </c>
      <c r="K69" s="669">
        <v>0</v>
      </c>
      <c r="L69" s="669">
        <v>0</v>
      </c>
    </row>
    <row r="70" spans="1:12" ht="18" customHeight="1" x14ac:dyDescent="0.3">
      <c r="A70" s="678" t="s">
        <v>1098</v>
      </c>
      <c r="B70" s="669">
        <v>13</v>
      </c>
      <c r="C70" s="669">
        <v>9</v>
      </c>
      <c r="D70" s="669">
        <v>5</v>
      </c>
      <c r="E70" s="669">
        <v>10</v>
      </c>
      <c r="F70" s="669">
        <v>8</v>
      </c>
      <c r="G70" s="669">
        <v>5</v>
      </c>
      <c r="H70" s="669">
        <v>4</v>
      </c>
      <c r="I70" s="669">
        <v>4</v>
      </c>
      <c r="J70" s="669">
        <v>7</v>
      </c>
      <c r="K70" s="669">
        <v>9</v>
      </c>
      <c r="L70" s="669">
        <v>4</v>
      </c>
    </row>
    <row r="71" spans="1:12" ht="18" customHeight="1" x14ac:dyDescent="0.3">
      <c r="A71" s="679" t="s">
        <v>961</v>
      </c>
      <c r="B71" s="541">
        <f t="shared" ref="B71:I71" si="12">SUM(B65:B70)</f>
        <v>37</v>
      </c>
      <c r="C71" s="541">
        <f t="shared" si="12"/>
        <v>29</v>
      </c>
      <c r="D71" s="541">
        <f t="shared" si="12"/>
        <v>35</v>
      </c>
      <c r="E71" s="541">
        <f t="shared" si="12"/>
        <v>27</v>
      </c>
      <c r="F71" s="805">
        <f t="shared" si="12"/>
        <v>41</v>
      </c>
      <c r="G71" s="805">
        <f t="shared" si="12"/>
        <v>37</v>
      </c>
      <c r="H71" s="805">
        <f t="shared" si="12"/>
        <v>32</v>
      </c>
      <c r="I71" s="805">
        <f t="shared" si="12"/>
        <v>24</v>
      </c>
      <c r="J71" s="805">
        <f>SUM(J65:J70)</f>
        <v>46</v>
      </c>
      <c r="K71" s="805">
        <f>SUM(K65:K70)</f>
        <v>51</v>
      </c>
      <c r="L71" s="805">
        <f>SUM(L65:L70)</f>
        <v>36</v>
      </c>
    </row>
    <row r="72" spans="1:12" ht="18" customHeight="1" x14ac:dyDescent="0.3">
      <c r="A72" s="677" t="s">
        <v>417</v>
      </c>
      <c r="B72" s="537"/>
      <c r="C72" s="537"/>
      <c r="D72" s="537"/>
      <c r="E72" s="537"/>
      <c r="F72" s="793"/>
      <c r="G72" s="793"/>
      <c r="H72" s="793"/>
      <c r="I72" s="793"/>
      <c r="J72" s="793"/>
      <c r="K72" s="793"/>
      <c r="L72" s="793"/>
    </row>
    <row r="73" spans="1:12" ht="18" customHeight="1" x14ac:dyDescent="0.3">
      <c r="A73" s="678" t="s">
        <v>1047</v>
      </c>
      <c r="B73" s="669">
        <v>4</v>
      </c>
      <c r="C73" s="669">
        <v>16</v>
      </c>
      <c r="D73" s="669">
        <v>8</v>
      </c>
      <c r="E73" s="669">
        <v>8</v>
      </c>
      <c r="F73" s="669">
        <v>15</v>
      </c>
      <c r="G73" s="669">
        <v>19</v>
      </c>
      <c r="H73" s="669">
        <v>5</v>
      </c>
      <c r="I73" s="669">
        <v>10</v>
      </c>
      <c r="J73" s="669">
        <v>2</v>
      </c>
      <c r="K73" s="669">
        <v>17</v>
      </c>
      <c r="L73" s="669">
        <v>28</v>
      </c>
    </row>
    <row r="74" spans="1:12" ht="18" customHeight="1" x14ac:dyDescent="0.3">
      <c r="A74" s="678" t="s">
        <v>1081</v>
      </c>
      <c r="B74" s="669">
        <v>0</v>
      </c>
      <c r="C74" s="669">
        <v>0</v>
      </c>
      <c r="D74" s="669">
        <v>0</v>
      </c>
      <c r="E74" s="669">
        <v>2</v>
      </c>
      <c r="F74" s="669">
        <v>2</v>
      </c>
      <c r="G74" s="669">
        <v>0</v>
      </c>
      <c r="H74" s="669">
        <v>3</v>
      </c>
      <c r="I74" s="669">
        <v>2</v>
      </c>
      <c r="J74" s="669">
        <v>2</v>
      </c>
      <c r="K74" s="669">
        <v>0</v>
      </c>
      <c r="L74" s="669">
        <v>0</v>
      </c>
    </row>
    <row r="75" spans="1:12" ht="18" customHeight="1" x14ac:dyDescent="0.3">
      <c r="A75" s="678" t="s">
        <v>1049</v>
      </c>
      <c r="B75" s="669">
        <v>21</v>
      </c>
      <c r="C75" s="669">
        <v>18</v>
      </c>
      <c r="D75" s="669">
        <v>15</v>
      </c>
      <c r="E75" s="669">
        <v>19</v>
      </c>
      <c r="F75" s="669">
        <v>16</v>
      </c>
      <c r="G75" s="669">
        <v>12</v>
      </c>
      <c r="H75" s="669">
        <v>20</v>
      </c>
      <c r="I75" s="669">
        <v>9</v>
      </c>
      <c r="J75" s="669">
        <v>13</v>
      </c>
      <c r="K75" s="669">
        <v>13</v>
      </c>
      <c r="L75" s="669">
        <v>12</v>
      </c>
    </row>
    <row r="76" spans="1:12" ht="18" customHeight="1" x14ac:dyDescent="0.3">
      <c r="A76" s="678" t="s">
        <v>509</v>
      </c>
      <c r="B76" s="669">
        <v>5</v>
      </c>
      <c r="C76" s="669">
        <v>8</v>
      </c>
      <c r="D76" s="669">
        <v>5</v>
      </c>
      <c r="E76" s="669">
        <v>7</v>
      </c>
      <c r="F76" s="669">
        <v>8</v>
      </c>
      <c r="G76" s="669">
        <v>9</v>
      </c>
      <c r="H76" s="669">
        <v>5</v>
      </c>
      <c r="I76" s="669">
        <v>9</v>
      </c>
      <c r="J76" s="669">
        <v>0</v>
      </c>
      <c r="K76" s="669">
        <v>0</v>
      </c>
      <c r="L76" s="669">
        <v>0</v>
      </c>
    </row>
    <row r="77" spans="1:12" ht="18" customHeight="1" x14ac:dyDescent="0.3">
      <c r="A77" s="679" t="s">
        <v>961</v>
      </c>
      <c r="B77" s="541">
        <f t="shared" ref="B77:I77" si="13">SUM(B73:B76)</f>
        <v>30</v>
      </c>
      <c r="C77" s="541">
        <f t="shared" si="13"/>
        <v>42</v>
      </c>
      <c r="D77" s="541">
        <f t="shared" si="13"/>
        <v>28</v>
      </c>
      <c r="E77" s="541">
        <f t="shared" si="13"/>
        <v>36</v>
      </c>
      <c r="F77" s="805">
        <f t="shared" si="13"/>
        <v>41</v>
      </c>
      <c r="G77" s="805">
        <f t="shared" si="13"/>
        <v>40</v>
      </c>
      <c r="H77" s="805">
        <f t="shared" si="13"/>
        <v>33</v>
      </c>
      <c r="I77" s="805">
        <f t="shared" si="13"/>
        <v>30</v>
      </c>
      <c r="J77" s="805">
        <f>SUM(J73:J76)</f>
        <v>17</v>
      </c>
      <c r="K77" s="805">
        <f>SUM(K73:K76)</f>
        <v>30</v>
      </c>
      <c r="L77" s="805">
        <f>SUM(L73:L76)</f>
        <v>40</v>
      </c>
    </row>
    <row r="78" spans="1:12" ht="18" customHeight="1" thickBot="1" x14ac:dyDescent="0.35">
      <c r="A78" s="682" t="s">
        <v>418</v>
      </c>
      <c r="B78" s="670">
        <f t="shared" ref="B78:I78" si="14">+B77+B71+B63</f>
        <v>124</v>
      </c>
      <c r="C78" s="670">
        <f t="shared" si="14"/>
        <v>147</v>
      </c>
      <c r="D78" s="670">
        <f t="shared" si="14"/>
        <v>143</v>
      </c>
      <c r="E78" s="670">
        <f t="shared" si="14"/>
        <v>151</v>
      </c>
      <c r="F78" s="806">
        <f t="shared" si="14"/>
        <v>150</v>
      </c>
      <c r="G78" s="806">
        <f t="shared" si="14"/>
        <v>138</v>
      </c>
      <c r="H78" s="806">
        <f t="shared" si="14"/>
        <v>148</v>
      </c>
      <c r="I78" s="806">
        <f t="shared" si="14"/>
        <v>148</v>
      </c>
      <c r="J78" s="806">
        <f>+J77+J71+J63</f>
        <v>135</v>
      </c>
      <c r="K78" s="806">
        <f>+K77+K71+K63</f>
        <v>153</v>
      </c>
      <c r="L78" s="806">
        <f>+L77+L71+L63</f>
        <v>146</v>
      </c>
    </row>
    <row r="79" spans="1:12" ht="20.25" customHeight="1" thickBot="1" x14ac:dyDescent="0.35">
      <c r="A79" s="1718" t="s">
        <v>419</v>
      </c>
      <c r="B79" s="1719"/>
      <c r="C79" s="1719"/>
      <c r="D79" s="1719"/>
      <c r="E79" s="1719"/>
      <c r="F79" s="1719"/>
      <c r="G79" s="1719"/>
      <c r="H79" s="1719"/>
      <c r="I79" s="1719"/>
      <c r="J79" s="1719"/>
      <c r="K79" s="1719"/>
      <c r="L79" s="1720"/>
    </row>
    <row r="80" spans="1:12" ht="20.25" customHeight="1" x14ac:dyDescent="0.3">
      <c r="A80" s="675" t="s">
        <v>401</v>
      </c>
      <c r="B80" s="671" t="s">
        <v>738</v>
      </c>
      <c r="C80" s="671" t="s">
        <v>596</v>
      </c>
      <c r="D80" s="671" t="s">
        <v>1306</v>
      </c>
      <c r="E80" s="671" t="s">
        <v>1052</v>
      </c>
      <c r="F80" s="804" t="s">
        <v>363</v>
      </c>
      <c r="G80" s="804" t="s">
        <v>583</v>
      </c>
      <c r="H80" s="804" t="s">
        <v>1363</v>
      </c>
      <c r="I80" s="804" t="s">
        <v>1388</v>
      </c>
      <c r="J80" s="804" t="s">
        <v>1389</v>
      </c>
      <c r="K80" s="804" t="s">
        <v>1377</v>
      </c>
      <c r="L80" s="1420" t="s">
        <v>1503</v>
      </c>
    </row>
    <row r="81" spans="1:12" ht="18" customHeight="1" x14ac:dyDescent="0.3">
      <c r="A81" s="683" t="s">
        <v>420</v>
      </c>
      <c r="B81" s="552"/>
      <c r="C81" s="552"/>
      <c r="D81" s="554"/>
      <c r="E81" s="554"/>
      <c r="F81" s="552"/>
      <c r="G81" s="552"/>
      <c r="H81" s="552"/>
      <c r="I81" s="552"/>
      <c r="J81" s="552"/>
      <c r="K81" s="552"/>
      <c r="L81" s="552"/>
    </row>
    <row r="82" spans="1:12" ht="18" customHeight="1" x14ac:dyDescent="0.3">
      <c r="A82" s="678" t="s">
        <v>1099</v>
      </c>
      <c r="B82" s="669">
        <v>24</v>
      </c>
      <c r="C82" s="669">
        <v>24</v>
      </c>
      <c r="D82" s="669">
        <v>12</v>
      </c>
      <c r="E82" s="669">
        <v>18</v>
      </c>
      <c r="F82" s="669">
        <v>23</v>
      </c>
      <c r="G82" s="669">
        <v>22</v>
      </c>
      <c r="H82" s="669">
        <v>14</v>
      </c>
      <c r="I82" s="669">
        <v>16</v>
      </c>
      <c r="J82" s="669">
        <v>25</v>
      </c>
      <c r="K82" s="669">
        <v>16</v>
      </c>
      <c r="L82" s="669">
        <v>17</v>
      </c>
    </row>
    <row r="83" spans="1:12" ht="18" customHeight="1" x14ac:dyDescent="0.3">
      <c r="A83" s="678" t="s">
        <v>1104</v>
      </c>
      <c r="B83" s="669">
        <v>18</v>
      </c>
      <c r="C83" s="669">
        <v>17</v>
      </c>
      <c r="D83" s="669">
        <v>12</v>
      </c>
      <c r="E83" s="669">
        <v>18</v>
      </c>
      <c r="F83" s="669">
        <v>5</v>
      </c>
      <c r="G83" s="669">
        <v>7</v>
      </c>
      <c r="H83" s="669">
        <v>7</v>
      </c>
      <c r="I83" s="669">
        <v>8</v>
      </c>
      <c r="J83" s="669">
        <v>4</v>
      </c>
      <c r="K83" s="669">
        <v>9</v>
      </c>
      <c r="L83" s="669">
        <v>4</v>
      </c>
    </row>
    <row r="84" spans="1:12" ht="18" hidden="1" customHeight="1" x14ac:dyDescent="0.3">
      <c r="A84" s="678" t="s">
        <v>1105</v>
      </c>
      <c r="B84" s="669">
        <v>0</v>
      </c>
      <c r="C84" s="669">
        <v>0</v>
      </c>
      <c r="D84" s="669">
        <v>1</v>
      </c>
      <c r="E84" s="669">
        <v>0</v>
      </c>
      <c r="F84" s="669">
        <v>0</v>
      </c>
      <c r="G84" s="669">
        <v>0</v>
      </c>
      <c r="H84" s="669">
        <v>0</v>
      </c>
      <c r="I84" s="669">
        <v>0</v>
      </c>
      <c r="J84" s="669">
        <v>0</v>
      </c>
      <c r="K84" s="669">
        <v>0</v>
      </c>
      <c r="L84" s="669">
        <v>0</v>
      </c>
    </row>
    <row r="85" spans="1:12" ht="18" customHeight="1" x14ac:dyDescent="0.3">
      <c r="A85" s="678" t="s">
        <v>1106</v>
      </c>
      <c r="B85" s="669">
        <v>2</v>
      </c>
      <c r="C85" s="669">
        <v>8</v>
      </c>
      <c r="D85" s="669">
        <v>10</v>
      </c>
      <c r="E85" s="669">
        <v>24</v>
      </c>
      <c r="F85" s="669">
        <v>23</v>
      </c>
      <c r="G85" s="669">
        <v>24</v>
      </c>
      <c r="H85" s="669">
        <v>17</v>
      </c>
      <c r="I85" s="669">
        <v>31</v>
      </c>
      <c r="J85" s="669">
        <v>23</v>
      </c>
      <c r="K85" s="669">
        <v>34</v>
      </c>
      <c r="L85" s="669">
        <v>42</v>
      </c>
    </row>
    <row r="86" spans="1:12" ht="18" customHeight="1" x14ac:dyDescent="0.3">
      <c r="A86" s="678" t="s">
        <v>1107</v>
      </c>
      <c r="B86" s="669">
        <v>46</v>
      </c>
      <c r="C86" s="669">
        <v>60</v>
      </c>
      <c r="D86" s="669">
        <v>64</v>
      </c>
      <c r="E86" s="669">
        <v>68</v>
      </c>
      <c r="F86" s="669">
        <v>54</v>
      </c>
      <c r="G86" s="669">
        <v>48</v>
      </c>
      <c r="H86" s="669">
        <v>49</v>
      </c>
      <c r="I86" s="669">
        <v>49</v>
      </c>
      <c r="J86" s="669">
        <v>43</v>
      </c>
      <c r="K86" s="669">
        <v>51</v>
      </c>
      <c r="L86" s="669">
        <v>40</v>
      </c>
    </row>
    <row r="87" spans="1:12" ht="18" hidden="1" customHeight="1" x14ac:dyDescent="0.3">
      <c r="A87" s="678" t="s">
        <v>82</v>
      </c>
      <c r="B87" s="669">
        <v>24</v>
      </c>
      <c r="C87" s="669">
        <v>15</v>
      </c>
      <c r="D87" s="669">
        <v>2</v>
      </c>
      <c r="E87" s="669">
        <v>1</v>
      </c>
      <c r="F87" s="669">
        <v>0</v>
      </c>
      <c r="G87" s="669">
        <v>0</v>
      </c>
      <c r="H87" s="669">
        <v>0</v>
      </c>
      <c r="I87" s="669">
        <v>0</v>
      </c>
      <c r="J87" s="669">
        <v>0</v>
      </c>
      <c r="K87" s="669">
        <v>0</v>
      </c>
      <c r="L87" s="669">
        <v>0</v>
      </c>
    </row>
    <row r="88" spans="1:12" ht="18" customHeight="1" x14ac:dyDescent="0.3">
      <c r="A88" s="678" t="s">
        <v>1086</v>
      </c>
      <c r="B88" s="669">
        <v>0</v>
      </c>
      <c r="C88" s="669">
        <v>0</v>
      </c>
      <c r="D88" s="669">
        <v>0</v>
      </c>
      <c r="E88" s="669">
        <v>0</v>
      </c>
      <c r="F88" s="669">
        <v>8</v>
      </c>
      <c r="G88" s="669">
        <v>1</v>
      </c>
      <c r="H88" s="669">
        <v>4</v>
      </c>
      <c r="I88" s="669">
        <v>5</v>
      </c>
      <c r="J88" s="669">
        <v>5</v>
      </c>
      <c r="K88" s="669">
        <v>6</v>
      </c>
      <c r="L88" s="669">
        <v>7</v>
      </c>
    </row>
    <row r="89" spans="1:12" ht="18" customHeight="1" x14ac:dyDescent="0.3">
      <c r="A89" s="679" t="s">
        <v>961</v>
      </c>
      <c r="B89" s="541">
        <f t="shared" ref="B89:I89" si="15">SUM(B82:B88)</f>
        <v>114</v>
      </c>
      <c r="C89" s="541">
        <f t="shared" si="15"/>
        <v>124</v>
      </c>
      <c r="D89" s="541">
        <f t="shared" si="15"/>
        <v>101</v>
      </c>
      <c r="E89" s="541">
        <f t="shared" si="15"/>
        <v>129</v>
      </c>
      <c r="F89" s="805">
        <f t="shared" si="15"/>
        <v>113</v>
      </c>
      <c r="G89" s="805">
        <f t="shared" si="15"/>
        <v>102</v>
      </c>
      <c r="H89" s="805">
        <f t="shared" si="15"/>
        <v>91</v>
      </c>
      <c r="I89" s="805">
        <f t="shared" si="15"/>
        <v>109</v>
      </c>
      <c r="J89" s="805">
        <f>SUM(J82:J88)</f>
        <v>100</v>
      </c>
      <c r="K89" s="805">
        <f>SUM(K82:K88)</f>
        <v>116</v>
      </c>
      <c r="L89" s="805">
        <f>SUM(L82:L88)</f>
        <v>110</v>
      </c>
    </row>
    <row r="90" spans="1:12" ht="18" customHeight="1" x14ac:dyDescent="0.3">
      <c r="A90" s="677" t="s">
        <v>421</v>
      </c>
      <c r="B90" s="537"/>
      <c r="C90" s="537"/>
      <c r="D90" s="537"/>
      <c r="E90" s="537"/>
      <c r="F90" s="793"/>
      <c r="G90" s="793"/>
      <c r="H90" s="793"/>
      <c r="I90" s="793"/>
      <c r="J90" s="793"/>
      <c r="K90" s="793"/>
      <c r="L90" s="793"/>
    </row>
    <row r="91" spans="1:12" ht="18" customHeight="1" x14ac:dyDescent="0.3">
      <c r="A91" s="684" t="s">
        <v>502</v>
      </c>
      <c r="B91" s="669"/>
      <c r="C91" s="669"/>
      <c r="D91" s="669"/>
      <c r="E91" s="669"/>
      <c r="F91" s="669">
        <v>0</v>
      </c>
      <c r="G91" s="669">
        <v>0</v>
      </c>
      <c r="H91" s="669">
        <v>3</v>
      </c>
      <c r="I91" s="669">
        <v>3</v>
      </c>
      <c r="J91" s="669">
        <v>1</v>
      </c>
      <c r="K91" s="669">
        <v>3</v>
      </c>
      <c r="L91" s="669">
        <v>2</v>
      </c>
    </row>
    <row r="92" spans="1:12" ht="18" customHeight="1" x14ac:dyDescent="0.3">
      <c r="A92" s="684" t="s">
        <v>1077</v>
      </c>
      <c r="B92" s="669">
        <v>7</v>
      </c>
      <c r="C92" s="669">
        <v>10</v>
      </c>
      <c r="D92" s="669">
        <v>5</v>
      </c>
      <c r="E92" s="669">
        <v>10</v>
      </c>
      <c r="F92" s="669">
        <v>12</v>
      </c>
      <c r="G92" s="669">
        <v>18</v>
      </c>
      <c r="H92" s="669">
        <v>17</v>
      </c>
      <c r="I92" s="669">
        <v>14</v>
      </c>
      <c r="J92" s="669">
        <v>9</v>
      </c>
      <c r="K92" s="669">
        <v>6</v>
      </c>
      <c r="L92" s="669">
        <v>13</v>
      </c>
    </row>
    <row r="93" spans="1:12" ht="18" customHeight="1" x14ac:dyDescent="0.3">
      <c r="A93" s="684" t="s">
        <v>825</v>
      </c>
      <c r="B93" s="669">
        <v>0</v>
      </c>
      <c r="C93" s="669">
        <v>0</v>
      </c>
      <c r="D93" s="669">
        <v>0</v>
      </c>
      <c r="E93" s="669">
        <v>0</v>
      </c>
      <c r="F93" s="669">
        <v>0</v>
      </c>
      <c r="G93" s="669">
        <v>8</v>
      </c>
      <c r="H93" s="669">
        <v>6</v>
      </c>
      <c r="I93" s="669">
        <v>2</v>
      </c>
      <c r="J93" s="669">
        <v>1</v>
      </c>
      <c r="K93" s="669">
        <v>0</v>
      </c>
      <c r="L93" s="669">
        <v>0</v>
      </c>
    </row>
    <row r="94" spans="1:12" ht="18" hidden="1" customHeight="1" x14ac:dyDescent="0.3">
      <c r="A94" s="684" t="s">
        <v>719</v>
      </c>
      <c r="B94" s="669">
        <v>2</v>
      </c>
      <c r="C94" s="669">
        <v>3</v>
      </c>
      <c r="D94" s="669">
        <v>6</v>
      </c>
      <c r="E94" s="669">
        <v>2</v>
      </c>
      <c r="F94" s="669">
        <v>1</v>
      </c>
      <c r="G94" s="669">
        <v>0</v>
      </c>
      <c r="H94" s="669">
        <v>0</v>
      </c>
      <c r="I94" s="669">
        <v>0</v>
      </c>
      <c r="J94" s="669">
        <v>0</v>
      </c>
      <c r="K94" s="669">
        <v>0</v>
      </c>
      <c r="L94" s="669">
        <v>0</v>
      </c>
    </row>
    <row r="95" spans="1:12" ht="18" hidden="1" customHeight="1" x14ac:dyDescent="0.3">
      <c r="A95" s="684" t="s">
        <v>513</v>
      </c>
      <c r="B95" s="669">
        <v>0</v>
      </c>
      <c r="C95" s="669">
        <v>0</v>
      </c>
      <c r="D95" s="669">
        <v>0</v>
      </c>
      <c r="E95" s="669">
        <v>1</v>
      </c>
      <c r="F95" s="669">
        <v>1</v>
      </c>
      <c r="G95" s="669">
        <v>0</v>
      </c>
      <c r="H95" s="669">
        <v>0</v>
      </c>
      <c r="I95" s="669">
        <v>0</v>
      </c>
      <c r="J95" s="669">
        <v>0</v>
      </c>
      <c r="K95" s="669">
        <v>0</v>
      </c>
      <c r="L95" s="669">
        <v>0</v>
      </c>
    </row>
    <row r="96" spans="1:12" ht="18" customHeight="1" x14ac:dyDescent="0.3">
      <c r="A96" s="684" t="s">
        <v>732</v>
      </c>
      <c r="B96" s="669">
        <v>3</v>
      </c>
      <c r="C96" s="669">
        <v>4</v>
      </c>
      <c r="D96" s="669">
        <v>2</v>
      </c>
      <c r="E96" s="669">
        <v>4</v>
      </c>
      <c r="F96" s="669">
        <v>3</v>
      </c>
      <c r="G96" s="669">
        <v>1</v>
      </c>
      <c r="H96" s="669">
        <v>4</v>
      </c>
      <c r="I96" s="669">
        <v>4</v>
      </c>
      <c r="J96" s="669">
        <v>1</v>
      </c>
      <c r="K96" s="669">
        <v>1</v>
      </c>
      <c r="L96" s="669">
        <v>1</v>
      </c>
    </row>
    <row r="97" spans="1:12" ht="18" customHeight="1" x14ac:dyDescent="0.3">
      <c r="A97" s="684" t="s">
        <v>514</v>
      </c>
      <c r="B97" s="669">
        <v>0</v>
      </c>
      <c r="C97" s="669">
        <v>0</v>
      </c>
      <c r="D97" s="669">
        <v>0</v>
      </c>
      <c r="E97" s="669">
        <v>1</v>
      </c>
      <c r="F97" s="669">
        <v>4</v>
      </c>
      <c r="G97" s="669">
        <v>0</v>
      </c>
      <c r="H97" s="669">
        <v>0</v>
      </c>
      <c r="I97" s="669">
        <v>1</v>
      </c>
      <c r="J97" s="669">
        <v>3</v>
      </c>
      <c r="K97" s="669">
        <v>0</v>
      </c>
      <c r="L97" s="669">
        <v>0</v>
      </c>
    </row>
    <row r="98" spans="1:12" ht="18" customHeight="1" x14ac:dyDescent="0.3">
      <c r="A98" s="684" t="s">
        <v>1053</v>
      </c>
      <c r="B98" s="674">
        <v>7</v>
      </c>
      <c r="C98" s="674">
        <v>7</v>
      </c>
      <c r="D98" s="674">
        <v>6</v>
      </c>
      <c r="E98" s="674">
        <v>8</v>
      </c>
      <c r="F98" s="674">
        <v>26</v>
      </c>
      <c r="G98" s="674">
        <v>12</v>
      </c>
      <c r="H98" s="674">
        <v>13</v>
      </c>
      <c r="I98" s="674">
        <v>8</v>
      </c>
      <c r="J98" s="674">
        <v>11</v>
      </c>
      <c r="K98" s="674">
        <v>10</v>
      </c>
      <c r="L98" s="674">
        <v>14</v>
      </c>
    </row>
    <row r="99" spans="1:12" ht="18" customHeight="1" x14ac:dyDescent="0.3">
      <c r="A99" s="684" t="s">
        <v>594</v>
      </c>
      <c r="B99" s="669">
        <v>0</v>
      </c>
      <c r="C99" s="669">
        <v>2</v>
      </c>
      <c r="D99" s="669">
        <v>4</v>
      </c>
      <c r="E99" s="669">
        <v>1</v>
      </c>
      <c r="F99" s="669">
        <v>1</v>
      </c>
      <c r="G99" s="669">
        <v>2</v>
      </c>
      <c r="H99" s="669">
        <v>4</v>
      </c>
      <c r="I99" s="669">
        <v>1</v>
      </c>
      <c r="J99" s="669">
        <v>3</v>
      </c>
      <c r="K99" s="669">
        <v>0</v>
      </c>
      <c r="L99" s="669">
        <v>0</v>
      </c>
    </row>
    <row r="100" spans="1:12" ht="18" customHeight="1" x14ac:dyDescent="0.3">
      <c r="A100" s="684" t="s">
        <v>1055</v>
      </c>
      <c r="B100" s="669">
        <v>8</v>
      </c>
      <c r="C100" s="669">
        <v>6</v>
      </c>
      <c r="D100" s="669">
        <v>11</v>
      </c>
      <c r="E100" s="669">
        <v>6</v>
      </c>
      <c r="F100" s="669">
        <v>11</v>
      </c>
      <c r="G100" s="669">
        <v>7</v>
      </c>
      <c r="H100" s="669">
        <v>16</v>
      </c>
      <c r="I100" s="669">
        <v>20</v>
      </c>
      <c r="J100" s="669">
        <v>14</v>
      </c>
      <c r="K100" s="669">
        <v>13</v>
      </c>
      <c r="L100" s="669">
        <v>17</v>
      </c>
    </row>
    <row r="101" spans="1:12" ht="18" customHeight="1" x14ac:dyDescent="0.3">
      <c r="A101" s="684" t="s">
        <v>510</v>
      </c>
      <c r="B101" s="669">
        <v>5</v>
      </c>
      <c r="C101" s="669">
        <v>2</v>
      </c>
      <c r="D101" s="669">
        <v>2</v>
      </c>
      <c r="E101" s="669">
        <v>1</v>
      </c>
      <c r="F101" s="669">
        <v>5</v>
      </c>
      <c r="G101" s="669">
        <v>2</v>
      </c>
      <c r="H101" s="669">
        <v>3</v>
      </c>
      <c r="I101" s="669">
        <v>2</v>
      </c>
      <c r="J101" s="669">
        <v>3</v>
      </c>
      <c r="K101" s="669">
        <v>0</v>
      </c>
      <c r="L101" s="669">
        <v>0</v>
      </c>
    </row>
    <row r="102" spans="1:12" ht="18" customHeight="1" x14ac:dyDescent="0.3">
      <c r="A102" s="679" t="s">
        <v>961</v>
      </c>
      <c r="B102" s="541">
        <f>SUM(B92:B101)</f>
        <v>32</v>
      </c>
      <c r="C102" s="541">
        <f>SUM(C92:C101)</f>
        <v>34</v>
      </c>
      <c r="D102" s="541">
        <f>SUM(D92:D101)</f>
        <v>36</v>
      </c>
      <c r="E102" s="541">
        <f>SUM(E92:E101)</f>
        <v>34</v>
      </c>
      <c r="F102" s="805">
        <f t="shared" ref="F102:K102" si="16">SUM(F91:F101)</f>
        <v>64</v>
      </c>
      <c r="G102" s="805">
        <f t="shared" si="16"/>
        <v>50</v>
      </c>
      <c r="H102" s="805">
        <f t="shared" si="16"/>
        <v>66</v>
      </c>
      <c r="I102" s="805">
        <f t="shared" si="16"/>
        <v>55</v>
      </c>
      <c r="J102" s="805">
        <f t="shared" si="16"/>
        <v>46</v>
      </c>
      <c r="K102" s="805">
        <f t="shared" si="16"/>
        <v>33</v>
      </c>
      <c r="L102" s="805">
        <f t="shared" ref="L102" si="17">SUM(L91:L101)</f>
        <v>47</v>
      </c>
    </row>
    <row r="103" spans="1:12" ht="18" customHeight="1" thickBot="1" x14ac:dyDescent="0.35">
      <c r="A103" s="685" t="s">
        <v>422</v>
      </c>
      <c r="B103" s="550">
        <f t="shared" ref="B103:I103" si="18">+B102+B89</f>
        <v>146</v>
      </c>
      <c r="C103" s="550">
        <f t="shared" si="18"/>
        <v>158</v>
      </c>
      <c r="D103" s="550">
        <f t="shared" si="18"/>
        <v>137</v>
      </c>
      <c r="E103" s="550">
        <f t="shared" si="18"/>
        <v>163</v>
      </c>
      <c r="F103" s="807">
        <f t="shared" si="18"/>
        <v>177</v>
      </c>
      <c r="G103" s="895">
        <f t="shared" si="18"/>
        <v>152</v>
      </c>
      <c r="H103" s="895">
        <f t="shared" si="18"/>
        <v>157</v>
      </c>
      <c r="I103" s="895">
        <f t="shared" si="18"/>
        <v>164</v>
      </c>
      <c r="J103" s="895">
        <f>+J102+J89</f>
        <v>146</v>
      </c>
      <c r="K103" s="895">
        <f>+K102+K89</f>
        <v>149</v>
      </c>
      <c r="L103" s="895">
        <f>+L102+L89</f>
        <v>157</v>
      </c>
    </row>
    <row r="104" spans="1:12" ht="18" customHeight="1" thickTop="1" thickBot="1" x14ac:dyDescent="0.35">
      <c r="A104" s="686" t="s">
        <v>949</v>
      </c>
      <c r="B104" s="687">
        <f t="shared" ref="B104:I104" si="19">B103+B78+B52+B26</f>
        <v>403</v>
      </c>
      <c r="C104" s="687">
        <f t="shared" si="19"/>
        <v>421</v>
      </c>
      <c r="D104" s="687">
        <f t="shared" si="19"/>
        <v>426</v>
      </c>
      <c r="E104" s="687">
        <f t="shared" si="19"/>
        <v>473</v>
      </c>
      <c r="F104" s="808">
        <f t="shared" si="19"/>
        <v>485</v>
      </c>
      <c r="G104" s="688">
        <f t="shared" si="19"/>
        <v>419</v>
      </c>
      <c r="H104" s="688">
        <f t="shared" si="19"/>
        <v>475</v>
      </c>
      <c r="I104" s="688">
        <f t="shared" si="19"/>
        <v>481</v>
      </c>
      <c r="J104" s="688">
        <f>J103+J78+J52+J26</f>
        <v>447</v>
      </c>
      <c r="K104" s="688">
        <f>K103+K78+K52+K26</f>
        <v>472</v>
      </c>
      <c r="L104" s="688">
        <f>L103+L78+L52+L26</f>
        <v>497</v>
      </c>
    </row>
    <row r="105" spans="1:12" ht="40.200000000000003" customHeight="1" x14ac:dyDescent="0.25">
      <c r="A105" s="1778" t="s">
        <v>472</v>
      </c>
      <c r="B105" s="1778"/>
      <c r="C105" s="1778"/>
      <c r="D105" s="1778"/>
      <c r="E105" s="1778"/>
      <c r="F105" s="1778"/>
      <c r="G105" s="1778"/>
      <c r="H105" s="1778"/>
      <c r="I105" s="1778"/>
      <c r="J105" s="1778"/>
      <c r="K105" s="1778"/>
      <c r="L105" s="1778"/>
    </row>
  </sheetData>
  <mergeCells count="7">
    <mergeCell ref="A79:L79"/>
    <mergeCell ref="A105:L105"/>
    <mergeCell ref="A3:L3"/>
    <mergeCell ref="A1:L1"/>
    <mergeCell ref="A2:L2"/>
    <mergeCell ref="A27:L27"/>
    <mergeCell ref="A53:L53"/>
  </mergeCells>
  <phoneticPr fontId="15" type="noConversion"/>
  <printOptions horizontalCentered="1" verticalCentered="1"/>
  <pageMargins left="0.2" right="0.2" top="0.3" bottom="0.4" header="0" footer="0.15"/>
  <pageSetup scale="53" orientation="landscape" r:id="rId1"/>
  <headerFooter alignWithMargins="0">
    <oddFooter>&amp;LSource: Office of Institutional Research</oddFooter>
  </headerFooter>
  <rowBreaks count="1" manualBreakCount="1">
    <brk id="52" max="16383" man="1"/>
  </rowBreaks>
  <legacyDrawing r:id="rId2"/>
  <webPublishItems count="1">
    <webPublishItem id="5393" divId="2004_2005 FACT BOOK WORKING COPY_5393" sourceType="sheet" destinationFile="C:\Documents and Settings\mkirkpatrick\My Documents\2005-2006 Fact Book\2005-2006 WEB PAGES\05_06degrees_conferred_by_college.htm"/>
  </webPublishItems>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112"/>
  <sheetViews>
    <sheetView zoomScale="50" zoomScaleNormal="50" workbookViewId="0">
      <selection sqref="A1:AE1"/>
    </sheetView>
  </sheetViews>
  <sheetFormatPr defaultColWidth="9.109375" defaultRowHeight="13.2" x14ac:dyDescent="0.25"/>
  <cols>
    <col min="1" max="1" width="67.33203125" style="982" customWidth="1"/>
    <col min="2" max="31" width="12.88671875" style="982" customWidth="1"/>
    <col min="32" max="16384" width="9.109375" style="982"/>
  </cols>
  <sheetData>
    <row r="1" spans="1:31" ht="19.2" x14ac:dyDescent="0.35">
      <c r="A1" s="1782" t="s">
        <v>704</v>
      </c>
      <c r="B1" s="1782"/>
      <c r="C1" s="1782"/>
      <c r="D1" s="1782"/>
      <c r="E1" s="1782"/>
      <c r="F1" s="1782"/>
      <c r="G1" s="1782"/>
      <c r="H1" s="1782"/>
      <c r="I1" s="1782"/>
      <c r="J1" s="1782"/>
      <c r="K1" s="1782"/>
      <c r="L1" s="1782"/>
      <c r="M1" s="1782"/>
      <c r="N1" s="1782"/>
      <c r="O1" s="1782"/>
      <c r="P1" s="1782"/>
      <c r="Q1" s="1782"/>
      <c r="R1" s="1782"/>
      <c r="S1" s="1782"/>
      <c r="T1" s="1782"/>
      <c r="U1" s="1782"/>
      <c r="V1" s="1782"/>
      <c r="W1" s="1782"/>
      <c r="X1" s="1782"/>
      <c r="Y1" s="1782"/>
      <c r="Z1" s="1782"/>
      <c r="AA1" s="1782"/>
      <c r="AB1" s="1782"/>
      <c r="AC1" s="1782"/>
      <c r="AD1" s="1782"/>
      <c r="AE1" s="1782"/>
    </row>
    <row r="2" spans="1:31" ht="19.5" customHeight="1" thickBot="1" x14ac:dyDescent="0.4">
      <c r="A2" s="1783" t="s">
        <v>249</v>
      </c>
      <c r="B2" s="1783"/>
      <c r="C2" s="1783"/>
      <c r="D2" s="1783"/>
      <c r="E2" s="1783"/>
      <c r="F2" s="1783"/>
      <c r="G2" s="1783"/>
      <c r="H2" s="1783"/>
      <c r="I2" s="1783"/>
      <c r="J2" s="1783"/>
      <c r="K2" s="1783"/>
      <c r="L2" s="1783"/>
      <c r="M2" s="1783"/>
      <c r="N2" s="1783"/>
      <c r="O2" s="1783"/>
      <c r="P2" s="1783"/>
      <c r="Q2" s="1783"/>
      <c r="R2" s="1783"/>
      <c r="S2" s="1783"/>
      <c r="T2" s="1783"/>
      <c r="U2" s="1783"/>
      <c r="V2" s="1783"/>
      <c r="W2" s="1783"/>
      <c r="X2" s="1783"/>
      <c r="Y2" s="1783"/>
      <c r="Z2" s="1783"/>
      <c r="AA2" s="1783"/>
      <c r="AB2" s="1783"/>
      <c r="AC2" s="1783"/>
      <c r="AD2" s="1783"/>
      <c r="AE2" s="1783"/>
    </row>
    <row r="3" spans="1:31" ht="20.25" customHeight="1" thickBot="1" x14ac:dyDescent="0.35">
      <c r="A3" s="1779" t="s">
        <v>400</v>
      </c>
      <c r="B3" s="1780"/>
      <c r="C3" s="1780"/>
      <c r="D3" s="1780"/>
      <c r="E3" s="1780"/>
      <c r="F3" s="1780"/>
      <c r="G3" s="1780"/>
      <c r="H3" s="1780"/>
      <c r="I3" s="1780"/>
      <c r="J3" s="1780"/>
      <c r="K3" s="1780"/>
      <c r="L3" s="1780"/>
      <c r="M3" s="1780"/>
      <c r="N3" s="1780"/>
      <c r="O3" s="1780"/>
      <c r="P3" s="1780"/>
      <c r="Q3" s="1780"/>
      <c r="R3" s="1780"/>
      <c r="S3" s="1780"/>
      <c r="T3" s="1780"/>
      <c r="U3" s="1780"/>
      <c r="V3" s="1780"/>
      <c r="W3" s="1780"/>
      <c r="X3" s="1780"/>
      <c r="Y3" s="1780"/>
      <c r="Z3" s="1780"/>
      <c r="AA3" s="1780"/>
      <c r="AB3" s="1780"/>
      <c r="AC3" s="1780"/>
      <c r="AD3" s="1780"/>
      <c r="AE3" s="1781"/>
    </row>
    <row r="4" spans="1:31" ht="20.25" customHeight="1" x14ac:dyDescent="0.3">
      <c r="A4" s="675" t="s">
        <v>401</v>
      </c>
      <c r="B4" s="673" t="s">
        <v>391</v>
      </c>
      <c r="C4" s="673" t="s">
        <v>1297</v>
      </c>
      <c r="D4" s="673" t="s">
        <v>1298</v>
      </c>
      <c r="E4" s="673" t="s">
        <v>1299</v>
      </c>
      <c r="F4" s="671" t="s">
        <v>738</v>
      </c>
      <c r="G4" s="714" t="s">
        <v>475</v>
      </c>
      <c r="H4" s="671" t="s">
        <v>596</v>
      </c>
      <c r="I4" s="714" t="s">
        <v>475</v>
      </c>
      <c r="J4" s="671" t="s">
        <v>1306</v>
      </c>
      <c r="K4" s="714" t="s">
        <v>475</v>
      </c>
      <c r="L4" s="671" t="s">
        <v>1052</v>
      </c>
      <c r="M4" s="714" t="s">
        <v>475</v>
      </c>
      <c r="N4" s="671" t="s">
        <v>274</v>
      </c>
      <c r="O4" s="714" t="s">
        <v>475</v>
      </c>
      <c r="P4" s="671" t="s">
        <v>1261</v>
      </c>
      <c r="Q4" s="714" t="s">
        <v>475</v>
      </c>
      <c r="R4" s="671" t="s">
        <v>363</v>
      </c>
      <c r="S4" s="714" t="s">
        <v>475</v>
      </c>
      <c r="T4" s="671" t="s">
        <v>583</v>
      </c>
      <c r="U4" s="714" t="s">
        <v>475</v>
      </c>
      <c r="V4" s="671" t="s">
        <v>1363</v>
      </c>
      <c r="W4" s="714" t="s">
        <v>475</v>
      </c>
      <c r="X4" s="671" t="s">
        <v>1388</v>
      </c>
      <c r="Y4" s="714" t="s">
        <v>475</v>
      </c>
      <c r="Z4" s="671" t="s">
        <v>1389</v>
      </c>
      <c r="AA4" s="714" t="s">
        <v>475</v>
      </c>
      <c r="AB4" s="671" t="s">
        <v>1377</v>
      </c>
      <c r="AC4" s="714" t="s">
        <v>475</v>
      </c>
      <c r="AD4" s="671" t="s">
        <v>1503</v>
      </c>
      <c r="AE4" s="714" t="s">
        <v>475</v>
      </c>
    </row>
    <row r="5" spans="1:31" ht="18" customHeight="1" x14ac:dyDescent="0.3">
      <c r="A5" s="984" t="s">
        <v>402</v>
      </c>
      <c r="B5" s="985"/>
      <c r="C5" s="985"/>
      <c r="D5" s="985"/>
      <c r="E5" s="985"/>
      <c r="F5" s="986"/>
      <c r="G5" s="986"/>
      <c r="H5" s="986"/>
      <c r="I5" s="986"/>
      <c r="J5" s="986"/>
      <c r="K5" s="986"/>
      <c r="L5" s="986"/>
      <c r="M5" s="986"/>
      <c r="N5" s="986"/>
      <c r="O5" s="987"/>
      <c r="P5" s="986"/>
      <c r="Q5" s="987"/>
      <c r="R5" s="986"/>
      <c r="S5" s="987"/>
      <c r="T5" s="986"/>
      <c r="U5" s="987"/>
      <c r="V5" s="986"/>
      <c r="W5" s="987"/>
      <c r="X5" s="986"/>
      <c r="Y5" s="987"/>
      <c r="Z5" s="986"/>
      <c r="AA5" s="987"/>
      <c r="AB5" s="986"/>
      <c r="AC5" s="987"/>
      <c r="AD5" s="986"/>
      <c r="AE5" s="987"/>
    </row>
    <row r="6" spans="1:31" ht="18" customHeight="1" x14ac:dyDescent="0.3">
      <c r="A6" s="863" t="s">
        <v>1057</v>
      </c>
      <c r="B6" s="669">
        <v>13</v>
      </c>
      <c r="C6" s="669">
        <v>13</v>
      </c>
      <c r="D6" s="669">
        <v>11</v>
      </c>
      <c r="E6" s="669">
        <v>16</v>
      </c>
      <c r="F6" s="669">
        <v>11</v>
      </c>
      <c r="G6" s="716">
        <f>AVERAGE(B6:F6)</f>
        <v>12.8</v>
      </c>
      <c r="H6" s="669">
        <v>10</v>
      </c>
      <c r="I6" s="716">
        <f>(+H6+F6+E6+D6+C6)/5</f>
        <v>12.2</v>
      </c>
      <c r="J6" s="669">
        <v>10</v>
      </c>
      <c r="K6" s="716">
        <f>(+J6+H6+F6+E6+D6)/5</f>
        <v>11.6</v>
      </c>
      <c r="L6" s="669">
        <v>8</v>
      </c>
      <c r="M6" s="716">
        <f>(L6+J6+H6+F6+E6)/5</f>
        <v>11</v>
      </c>
      <c r="N6" s="669">
        <v>7</v>
      </c>
      <c r="O6" s="717">
        <f>(+N6+L6+J6+H6+F6)/5</f>
        <v>9.1999999999999993</v>
      </c>
      <c r="P6" s="669">
        <v>8</v>
      </c>
      <c r="Q6" s="717">
        <f>(P6+N6+L6+J6+H6)/5</f>
        <v>8.6</v>
      </c>
      <c r="R6" s="669">
        <v>2</v>
      </c>
      <c r="S6" s="717">
        <f>(R6+P6+N6+L6+J6)/5</f>
        <v>7</v>
      </c>
      <c r="T6" s="669">
        <v>12</v>
      </c>
      <c r="U6" s="717">
        <f>(T6+R6+P6+N6+L6)/5</f>
        <v>7.4</v>
      </c>
      <c r="V6" s="669">
        <v>14</v>
      </c>
      <c r="W6" s="717">
        <f>(V6+T6+R6+P6+N6)/5</f>
        <v>8.6</v>
      </c>
      <c r="X6" s="669">
        <v>9</v>
      </c>
      <c r="Y6" s="717">
        <f>(X6+V6+T6+R6+P6)/5</f>
        <v>9</v>
      </c>
      <c r="Z6" s="669">
        <v>16</v>
      </c>
      <c r="AA6" s="717">
        <f>(Z6+X6+V6+T6+R6)/5</f>
        <v>10.6</v>
      </c>
      <c r="AB6" s="669">
        <v>6</v>
      </c>
      <c r="AC6" s="717">
        <f>(AB6+Z6+X6+V6+T6)/5</f>
        <v>11.4</v>
      </c>
      <c r="AD6" s="669">
        <v>14</v>
      </c>
      <c r="AE6" s="717">
        <f>(AD6+AB6+Z6+X6+V6)/5</f>
        <v>11.8</v>
      </c>
    </row>
    <row r="7" spans="1:31" ht="18" customHeight="1" x14ac:dyDescent="0.3">
      <c r="A7" s="863" t="s">
        <v>511</v>
      </c>
      <c r="B7" s="669">
        <v>0</v>
      </c>
      <c r="C7" s="669">
        <v>0</v>
      </c>
      <c r="D7" s="669">
        <v>0</v>
      </c>
      <c r="E7" s="669">
        <v>0</v>
      </c>
      <c r="F7" s="669">
        <v>0</v>
      </c>
      <c r="G7" s="716">
        <f>AVERAGE(B7:F7)</f>
        <v>0</v>
      </c>
      <c r="H7" s="669">
        <v>0</v>
      </c>
      <c r="I7" s="716">
        <f>(+H7+F7+E7+D7+C7)/5</f>
        <v>0</v>
      </c>
      <c r="J7" s="669">
        <v>0</v>
      </c>
      <c r="K7" s="716">
        <f>(+J7+H7+F7+E7+D7)/5</f>
        <v>0</v>
      </c>
      <c r="L7" s="669">
        <v>1</v>
      </c>
      <c r="M7" s="716">
        <f>(L7+J7+H7+F7+E7)/5</f>
        <v>0.2</v>
      </c>
      <c r="N7" s="669">
        <v>1</v>
      </c>
      <c r="O7" s="717">
        <f>(+N7+L7+J7+H7+F7)/5</f>
        <v>0.4</v>
      </c>
      <c r="P7" s="669">
        <v>0</v>
      </c>
      <c r="Q7" s="717">
        <f>(P7+N7+L7+J7+H7)/5</f>
        <v>0.4</v>
      </c>
      <c r="R7" s="669">
        <v>0</v>
      </c>
      <c r="S7" s="717">
        <f>(R7+P7+N7+L7+J7)/5</f>
        <v>0.4</v>
      </c>
      <c r="T7" s="669">
        <v>1</v>
      </c>
      <c r="U7" s="717">
        <f>(T7+R7+P7+N7+L7)/5</f>
        <v>0.6</v>
      </c>
      <c r="V7" s="669">
        <v>1</v>
      </c>
      <c r="W7" s="717">
        <f>(V7+T7+R7+P7+N7)/5</f>
        <v>0.6</v>
      </c>
      <c r="X7" s="669">
        <v>0</v>
      </c>
      <c r="Y7" s="717">
        <f>(X7+V7+T7+R7+P7)/5</f>
        <v>0.4</v>
      </c>
      <c r="Z7" s="669">
        <v>3</v>
      </c>
      <c r="AA7" s="717">
        <f>(Z7+X7+V7+T7+R7)/5</f>
        <v>1</v>
      </c>
      <c r="AB7" s="669">
        <v>0</v>
      </c>
      <c r="AC7" s="717">
        <f>(AB7+Z7+X7+V7+T7)/5</f>
        <v>1</v>
      </c>
      <c r="AD7" s="669">
        <v>1</v>
      </c>
      <c r="AE7" s="717">
        <f>(AD7+AB7+Z7+X7+V7)/5</f>
        <v>1</v>
      </c>
    </row>
    <row r="8" spans="1:31" ht="18" customHeight="1" x14ac:dyDescent="0.3">
      <c r="A8" s="863" t="s">
        <v>698</v>
      </c>
      <c r="B8" s="669">
        <v>0</v>
      </c>
      <c r="C8" s="669">
        <v>0</v>
      </c>
      <c r="D8" s="669">
        <v>0</v>
      </c>
      <c r="E8" s="669">
        <v>0</v>
      </c>
      <c r="F8" s="669">
        <v>0</v>
      </c>
      <c r="G8" s="716">
        <f>AVERAGE(B8:F8)</f>
        <v>0</v>
      </c>
      <c r="H8" s="669">
        <v>0</v>
      </c>
      <c r="I8" s="716">
        <f>(+H8+F8+E8+D8+C8)/5</f>
        <v>0</v>
      </c>
      <c r="J8" s="669">
        <v>0</v>
      </c>
      <c r="K8" s="716">
        <v>9</v>
      </c>
      <c r="L8" s="669">
        <v>0</v>
      </c>
      <c r="M8" s="716">
        <f>(L8+J8+H8+F8+E8)/5</f>
        <v>0</v>
      </c>
      <c r="N8" s="669">
        <v>0</v>
      </c>
      <c r="O8" s="717">
        <f>(+N8+L8+J8+H8+F8)/5</f>
        <v>0</v>
      </c>
      <c r="P8" s="669">
        <v>0</v>
      </c>
      <c r="Q8" s="717">
        <f>(P8+N8+L8+J8+H8)/5</f>
        <v>0</v>
      </c>
      <c r="R8" s="669">
        <v>0</v>
      </c>
      <c r="S8" s="717">
        <f>(R8+P8+N8+L8+J8)/5</f>
        <v>0</v>
      </c>
      <c r="T8" s="669">
        <v>0</v>
      </c>
      <c r="U8" s="717">
        <f>(T8+R8+P8+N8+L8)/5</f>
        <v>0</v>
      </c>
      <c r="V8" s="669">
        <v>1</v>
      </c>
      <c r="W8" s="717">
        <f>(V8+T8+R8+P8+N8)/5</f>
        <v>0.2</v>
      </c>
      <c r="X8" s="669">
        <v>0</v>
      </c>
      <c r="Y8" s="717">
        <f>(X8+V8+T8+R8+P8)/5</f>
        <v>0.2</v>
      </c>
      <c r="Z8" s="669">
        <v>0</v>
      </c>
      <c r="AA8" s="717">
        <f>(Z8+X8+V8+T8+R8)/5</f>
        <v>0.2</v>
      </c>
      <c r="AB8" s="669">
        <v>0</v>
      </c>
      <c r="AC8" s="717">
        <f>(AB8+Z8+X8+V8+T8)/5</f>
        <v>0.2</v>
      </c>
      <c r="AD8" s="669">
        <v>0</v>
      </c>
      <c r="AE8" s="717">
        <f>(AD8+AB8+Z8+X8+V8)/5</f>
        <v>0.2</v>
      </c>
    </row>
    <row r="9" spans="1:31" ht="18" customHeight="1" x14ac:dyDescent="0.3">
      <c r="A9" s="864" t="s">
        <v>961</v>
      </c>
      <c r="B9" s="715">
        <f>SUM(B6:B8)</f>
        <v>13</v>
      </c>
      <c r="C9" s="715">
        <f>SUM(C6:C8)</f>
        <v>13</v>
      </c>
      <c r="D9" s="715">
        <f>SUM(D6:D8)</f>
        <v>11</v>
      </c>
      <c r="E9" s="715">
        <f>SUM(E6:E8)</f>
        <v>16</v>
      </c>
      <c r="F9" s="715">
        <f>SUM(F6:F8)</f>
        <v>11</v>
      </c>
      <c r="G9" s="716">
        <f>AVERAGE(B9:F9)</f>
        <v>12.8</v>
      </c>
      <c r="H9" s="715">
        <f>SUM(H6:H8)</f>
        <v>10</v>
      </c>
      <c r="I9" s="716">
        <f>(+H9+F9+E9+D9+C9)/5</f>
        <v>12.2</v>
      </c>
      <c r="J9" s="715">
        <f>SUM(J6:J8)</f>
        <v>10</v>
      </c>
      <c r="K9" s="716">
        <f>(+J9+H9+F9+E9+D9)/5</f>
        <v>11.6</v>
      </c>
      <c r="L9" s="715">
        <f>SUM(L6:L8)</f>
        <v>9</v>
      </c>
      <c r="M9" s="716">
        <f>(L9+J9+H9+F9+E9)/5</f>
        <v>11.2</v>
      </c>
      <c r="N9" s="715">
        <f>SUM(N6:N8)</f>
        <v>8</v>
      </c>
      <c r="O9" s="717">
        <f>(+N9+L9+J9+H9+F9)/5</f>
        <v>9.6</v>
      </c>
      <c r="P9" s="715">
        <f>SUM(P6:P8)</f>
        <v>8</v>
      </c>
      <c r="Q9" s="717">
        <f>(P9+N9+L9+J9+H9)/5</f>
        <v>9</v>
      </c>
      <c r="R9" s="715">
        <f>SUM(R6:R8)</f>
        <v>2</v>
      </c>
      <c r="S9" s="717">
        <f>(R9+P9+N9+L9+J9)/5</f>
        <v>7.4</v>
      </c>
      <c r="T9" s="715">
        <f>SUM(T6:T8)</f>
        <v>13</v>
      </c>
      <c r="U9" s="717">
        <f>(T9+R9+P9+N9+L9)/5</f>
        <v>8</v>
      </c>
      <c r="V9" s="715">
        <f>SUM(V6:V8)</f>
        <v>16</v>
      </c>
      <c r="W9" s="717">
        <f>(V9+T9+R9+P9+N9)/5</f>
        <v>9.4</v>
      </c>
      <c r="X9" s="715">
        <f>SUM(X6:X8)</f>
        <v>9</v>
      </c>
      <c r="Y9" s="717">
        <f>(X9+V9+T9+R9+P9)/5</f>
        <v>9.6</v>
      </c>
      <c r="Z9" s="715">
        <f>SUM(Z6:Z8)</f>
        <v>19</v>
      </c>
      <c r="AA9" s="717">
        <f>(Z9+X9+V9+T9+R9)/5</f>
        <v>11.8</v>
      </c>
      <c r="AB9" s="715">
        <f>SUM(AB6:AB8)</f>
        <v>6</v>
      </c>
      <c r="AC9" s="717">
        <f>(AB9+Z9+X9+V9+T9)/5</f>
        <v>12.6</v>
      </c>
      <c r="AD9" s="715">
        <f>SUM(AD6:AD8)</f>
        <v>15</v>
      </c>
      <c r="AE9" s="717">
        <f>(AD9+AB9+Z9+X9+V9)/5</f>
        <v>13</v>
      </c>
    </row>
    <row r="10" spans="1:31" ht="18" customHeight="1" x14ac:dyDescent="0.3">
      <c r="A10" s="984" t="s">
        <v>403</v>
      </c>
      <c r="B10" s="985"/>
      <c r="C10" s="985"/>
      <c r="D10" s="985"/>
      <c r="E10" s="985"/>
      <c r="F10" s="986"/>
      <c r="G10" s="985"/>
      <c r="H10" s="986"/>
      <c r="I10" s="986"/>
      <c r="J10" s="986"/>
      <c r="K10" s="986"/>
      <c r="L10" s="986"/>
      <c r="M10" s="986"/>
      <c r="N10" s="986"/>
      <c r="O10" s="987"/>
      <c r="P10" s="986"/>
      <c r="Q10" s="987"/>
      <c r="R10" s="986"/>
      <c r="S10" s="987"/>
      <c r="T10" s="986"/>
      <c r="U10" s="987"/>
      <c r="V10" s="986"/>
      <c r="W10" s="987"/>
      <c r="X10" s="986"/>
      <c r="Y10" s="987"/>
      <c r="Z10" s="986"/>
      <c r="AA10" s="987"/>
      <c r="AB10" s="986"/>
      <c r="AC10" s="987"/>
      <c r="AD10" s="986"/>
      <c r="AE10" s="987"/>
    </row>
    <row r="11" spans="1:31" ht="18" customHeight="1" x14ac:dyDescent="0.3">
      <c r="A11" s="988" t="s">
        <v>392</v>
      </c>
      <c r="B11" s="669">
        <v>0</v>
      </c>
      <c r="C11" s="669">
        <v>0</v>
      </c>
      <c r="D11" s="669">
        <v>0</v>
      </c>
      <c r="E11" s="669">
        <v>0</v>
      </c>
      <c r="F11" s="669">
        <v>0</v>
      </c>
      <c r="G11" s="716">
        <f t="shared" ref="G11:G18" si="0">AVERAGE(B11:F11)</f>
        <v>0</v>
      </c>
      <c r="H11" s="989">
        <v>0</v>
      </c>
      <c r="I11" s="716">
        <f t="shared" ref="I11:I18" si="1">(+H11+F11+E11+D11+C11)/5</f>
        <v>0</v>
      </c>
      <c r="J11" s="989">
        <v>0</v>
      </c>
      <c r="K11" s="716">
        <f t="shared" ref="K11:K18" si="2">(+J11+H11+F11+E11+D11)/5</f>
        <v>0</v>
      </c>
      <c r="L11" s="989">
        <v>0</v>
      </c>
      <c r="M11" s="716">
        <f t="shared" ref="M11:M18" si="3">(L11+J11+H11+F11+E11)/5</f>
        <v>0</v>
      </c>
      <c r="N11" s="989">
        <v>0</v>
      </c>
      <c r="O11" s="717">
        <f t="shared" ref="O11:O18" si="4">(+N11+L11+J11+H11+F11)/5</f>
        <v>0</v>
      </c>
      <c r="P11" s="989">
        <v>0</v>
      </c>
      <c r="Q11" s="717">
        <f t="shared" ref="Q11:Q18" si="5">(P11+N11+L11+J11+H11)/5</f>
        <v>0</v>
      </c>
      <c r="R11" s="989">
        <v>0</v>
      </c>
      <c r="S11" s="717">
        <f t="shared" ref="S11:S18" si="6">(R11+P11+N11+L11+J11)/5</f>
        <v>0</v>
      </c>
      <c r="T11" s="989">
        <v>0</v>
      </c>
      <c r="U11" s="717">
        <f t="shared" ref="U11:U18" si="7">(T11+R11+P11+N11+L11)/5</f>
        <v>0</v>
      </c>
      <c r="V11" s="989">
        <v>0</v>
      </c>
      <c r="W11" s="717">
        <f t="shared" ref="W11:W18" si="8">(V11+T11+R11+P11+N11)/5</f>
        <v>0</v>
      </c>
      <c r="X11" s="989">
        <v>0</v>
      </c>
      <c r="Y11" s="717">
        <f t="shared" ref="Y11:Y18" si="9">(X11+V11+T11+R11+P11)/5</f>
        <v>0</v>
      </c>
      <c r="Z11" s="989">
        <v>0</v>
      </c>
      <c r="AA11" s="717">
        <f t="shared" ref="AA11:AA18" si="10">(Z11+X11+V11+T11+R11)/5</f>
        <v>0</v>
      </c>
      <c r="AB11" s="989">
        <v>0</v>
      </c>
      <c r="AC11" s="717">
        <f t="shared" ref="AC11:AC18" si="11">(AB11+Z11+X11+V11+T11)/5</f>
        <v>0</v>
      </c>
      <c r="AD11" s="989">
        <v>0</v>
      </c>
      <c r="AE11" s="717">
        <f t="shared" ref="AE11:AE18" si="12">(AD11+AB11+Z11+X11+V11)/5</f>
        <v>0</v>
      </c>
    </row>
    <row r="12" spans="1:31" ht="18" customHeight="1" x14ac:dyDescent="0.3">
      <c r="A12" s="863" t="s">
        <v>1083</v>
      </c>
      <c r="B12" s="669">
        <v>0</v>
      </c>
      <c r="C12" s="669">
        <v>0</v>
      </c>
      <c r="D12" s="669">
        <v>0</v>
      </c>
      <c r="E12" s="669">
        <v>0</v>
      </c>
      <c r="F12" s="669">
        <v>6</v>
      </c>
      <c r="G12" s="716">
        <f t="shared" si="0"/>
        <v>1.2</v>
      </c>
      <c r="H12" s="669">
        <v>0</v>
      </c>
      <c r="I12" s="716">
        <f t="shared" si="1"/>
        <v>1.2</v>
      </c>
      <c r="J12" s="669">
        <v>1</v>
      </c>
      <c r="K12" s="716">
        <f t="shared" si="2"/>
        <v>1.4</v>
      </c>
      <c r="L12" s="669">
        <v>2</v>
      </c>
      <c r="M12" s="716">
        <f t="shared" si="3"/>
        <v>1.8</v>
      </c>
      <c r="N12" s="669">
        <v>1</v>
      </c>
      <c r="O12" s="717">
        <f t="shared" si="4"/>
        <v>2</v>
      </c>
      <c r="P12" s="669">
        <v>1</v>
      </c>
      <c r="Q12" s="717">
        <f t="shared" si="5"/>
        <v>1</v>
      </c>
      <c r="R12" s="669">
        <v>0</v>
      </c>
      <c r="S12" s="717">
        <f t="shared" si="6"/>
        <v>1</v>
      </c>
      <c r="T12" s="669">
        <v>1</v>
      </c>
      <c r="U12" s="717">
        <f t="shared" si="7"/>
        <v>1</v>
      </c>
      <c r="V12" s="669">
        <v>0</v>
      </c>
      <c r="W12" s="717">
        <f t="shared" si="8"/>
        <v>0.6</v>
      </c>
      <c r="X12" s="669">
        <v>0</v>
      </c>
      <c r="Y12" s="717">
        <f t="shared" si="9"/>
        <v>0.4</v>
      </c>
      <c r="Z12" s="669">
        <v>0</v>
      </c>
      <c r="AA12" s="717">
        <f t="shared" si="10"/>
        <v>0.2</v>
      </c>
      <c r="AB12" s="669">
        <v>0</v>
      </c>
      <c r="AC12" s="717">
        <f t="shared" si="11"/>
        <v>0.2</v>
      </c>
      <c r="AD12" s="669">
        <v>0</v>
      </c>
      <c r="AE12" s="717">
        <f t="shared" si="12"/>
        <v>0</v>
      </c>
    </row>
    <row r="13" spans="1:31" ht="18" customHeight="1" x14ac:dyDescent="0.3">
      <c r="A13" s="865" t="s">
        <v>1087</v>
      </c>
      <c r="B13" s="669">
        <v>0</v>
      </c>
      <c r="C13" s="669">
        <v>0</v>
      </c>
      <c r="D13" s="669">
        <v>0</v>
      </c>
      <c r="E13" s="669">
        <v>0</v>
      </c>
      <c r="F13" s="669">
        <v>3</v>
      </c>
      <c r="G13" s="716">
        <f t="shared" si="0"/>
        <v>0.6</v>
      </c>
      <c r="H13" s="669">
        <v>3</v>
      </c>
      <c r="I13" s="716">
        <f t="shared" si="1"/>
        <v>1.2</v>
      </c>
      <c r="J13" s="669">
        <v>4</v>
      </c>
      <c r="K13" s="716">
        <f t="shared" si="2"/>
        <v>2</v>
      </c>
      <c r="L13" s="669">
        <v>6</v>
      </c>
      <c r="M13" s="716">
        <f t="shared" si="3"/>
        <v>3.2</v>
      </c>
      <c r="N13" s="669">
        <v>1</v>
      </c>
      <c r="O13" s="717">
        <f t="shared" si="4"/>
        <v>3.4</v>
      </c>
      <c r="P13" s="669">
        <v>2</v>
      </c>
      <c r="Q13" s="717">
        <f t="shared" si="5"/>
        <v>3.2</v>
      </c>
      <c r="R13" s="669">
        <v>3</v>
      </c>
      <c r="S13" s="717">
        <f t="shared" si="6"/>
        <v>3.2</v>
      </c>
      <c r="T13" s="669">
        <v>2</v>
      </c>
      <c r="U13" s="717">
        <f t="shared" si="7"/>
        <v>2.8</v>
      </c>
      <c r="V13" s="669">
        <v>4</v>
      </c>
      <c r="W13" s="717">
        <f t="shared" si="8"/>
        <v>2.4</v>
      </c>
      <c r="X13" s="669">
        <v>3</v>
      </c>
      <c r="Y13" s="717">
        <f t="shared" si="9"/>
        <v>2.8</v>
      </c>
      <c r="Z13" s="669">
        <v>1</v>
      </c>
      <c r="AA13" s="717">
        <f t="shared" si="10"/>
        <v>2.6</v>
      </c>
      <c r="AB13" s="669">
        <v>3</v>
      </c>
      <c r="AC13" s="717">
        <f t="shared" si="11"/>
        <v>2.6</v>
      </c>
      <c r="AD13" s="669">
        <v>3</v>
      </c>
      <c r="AE13" s="717">
        <f t="shared" si="12"/>
        <v>2.8</v>
      </c>
    </row>
    <row r="14" spans="1:31" ht="18" customHeight="1" x14ac:dyDescent="0.3">
      <c r="A14" s="863" t="s">
        <v>1084</v>
      </c>
      <c r="B14" s="669">
        <v>10</v>
      </c>
      <c r="C14" s="669">
        <v>7</v>
      </c>
      <c r="D14" s="669">
        <v>4</v>
      </c>
      <c r="E14" s="669">
        <v>8</v>
      </c>
      <c r="F14" s="669">
        <v>6</v>
      </c>
      <c r="G14" s="716">
        <f t="shared" si="0"/>
        <v>7</v>
      </c>
      <c r="H14" s="669">
        <v>7</v>
      </c>
      <c r="I14" s="716">
        <f t="shared" si="1"/>
        <v>6.4</v>
      </c>
      <c r="J14" s="669">
        <v>2</v>
      </c>
      <c r="K14" s="716">
        <f t="shared" si="2"/>
        <v>5.4</v>
      </c>
      <c r="L14" s="669">
        <v>4</v>
      </c>
      <c r="M14" s="716">
        <f t="shared" si="3"/>
        <v>5.4</v>
      </c>
      <c r="N14" s="669">
        <v>5</v>
      </c>
      <c r="O14" s="717">
        <f t="shared" si="4"/>
        <v>4.8</v>
      </c>
      <c r="P14" s="669">
        <v>4</v>
      </c>
      <c r="Q14" s="717">
        <f t="shared" si="5"/>
        <v>4.4000000000000004</v>
      </c>
      <c r="R14" s="669">
        <v>1</v>
      </c>
      <c r="S14" s="717">
        <f t="shared" si="6"/>
        <v>3.2</v>
      </c>
      <c r="T14" s="669">
        <v>0</v>
      </c>
      <c r="U14" s="717">
        <f t="shared" si="7"/>
        <v>2.8</v>
      </c>
      <c r="V14" s="669">
        <v>2</v>
      </c>
      <c r="W14" s="717">
        <f t="shared" si="8"/>
        <v>2.4</v>
      </c>
      <c r="X14" s="669">
        <v>0</v>
      </c>
      <c r="Y14" s="717">
        <f t="shared" si="9"/>
        <v>1.4</v>
      </c>
      <c r="Z14" s="669">
        <v>0</v>
      </c>
      <c r="AA14" s="717">
        <f t="shared" si="10"/>
        <v>0.6</v>
      </c>
      <c r="AB14" s="669">
        <v>0</v>
      </c>
      <c r="AC14" s="717">
        <f t="shared" si="11"/>
        <v>0.4</v>
      </c>
      <c r="AD14" s="669">
        <v>0</v>
      </c>
      <c r="AE14" s="717">
        <f t="shared" si="12"/>
        <v>0.4</v>
      </c>
    </row>
    <row r="15" spans="1:31" ht="18" customHeight="1" x14ac:dyDescent="0.3">
      <c r="A15" s="678" t="s">
        <v>248</v>
      </c>
      <c r="B15" s="669">
        <v>0</v>
      </c>
      <c r="C15" s="669">
        <v>0</v>
      </c>
      <c r="D15" s="669">
        <v>0</v>
      </c>
      <c r="E15" s="669">
        <v>0</v>
      </c>
      <c r="F15" s="669">
        <v>0</v>
      </c>
      <c r="G15" s="716">
        <f t="shared" si="0"/>
        <v>0</v>
      </c>
      <c r="H15" s="669">
        <v>0</v>
      </c>
      <c r="I15" s="716">
        <f t="shared" si="1"/>
        <v>0</v>
      </c>
      <c r="J15" s="669">
        <v>0</v>
      </c>
      <c r="K15" s="716">
        <f t="shared" si="2"/>
        <v>0</v>
      </c>
      <c r="L15" s="669">
        <v>0</v>
      </c>
      <c r="M15" s="716">
        <f t="shared" si="3"/>
        <v>0</v>
      </c>
      <c r="N15" s="669">
        <v>0</v>
      </c>
      <c r="O15" s="717">
        <f t="shared" si="4"/>
        <v>0</v>
      </c>
      <c r="P15" s="669">
        <v>0</v>
      </c>
      <c r="Q15" s="717">
        <f t="shared" si="5"/>
        <v>0</v>
      </c>
      <c r="R15" s="669">
        <v>2</v>
      </c>
      <c r="S15" s="717">
        <f t="shared" si="6"/>
        <v>0.4</v>
      </c>
      <c r="T15" s="669">
        <v>7</v>
      </c>
      <c r="U15" s="717">
        <f t="shared" si="7"/>
        <v>1.8</v>
      </c>
      <c r="V15" s="669">
        <v>3</v>
      </c>
      <c r="W15" s="717">
        <f t="shared" si="8"/>
        <v>2.4</v>
      </c>
      <c r="X15" s="669">
        <v>3</v>
      </c>
      <c r="Y15" s="717">
        <f t="shared" si="9"/>
        <v>3</v>
      </c>
      <c r="Z15" s="669">
        <v>4</v>
      </c>
      <c r="AA15" s="717">
        <f t="shared" si="10"/>
        <v>3.8</v>
      </c>
      <c r="AB15" s="669">
        <v>4</v>
      </c>
      <c r="AC15" s="717">
        <f t="shared" si="11"/>
        <v>4.2</v>
      </c>
      <c r="AD15" s="669">
        <v>4</v>
      </c>
      <c r="AE15" s="717">
        <f t="shared" si="12"/>
        <v>3.6</v>
      </c>
    </row>
    <row r="16" spans="1:31" ht="18" customHeight="1" x14ac:dyDescent="0.3">
      <c r="A16" s="866" t="s">
        <v>83</v>
      </c>
      <c r="B16" s="669">
        <v>3</v>
      </c>
      <c r="C16" s="669">
        <v>0</v>
      </c>
      <c r="D16" s="669">
        <v>3</v>
      </c>
      <c r="E16" s="669">
        <v>0</v>
      </c>
      <c r="F16" s="669">
        <v>4</v>
      </c>
      <c r="G16" s="716">
        <f t="shared" si="0"/>
        <v>2</v>
      </c>
      <c r="H16" s="669">
        <v>5</v>
      </c>
      <c r="I16" s="716">
        <f t="shared" si="1"/>
        <v>2.4</v>
      </c>
      <c r="J16" s="669">
        <v>2</v>
      </c>
      <c r="K16" s="716">
        <f t="shared" si="2"/>
        <v>2.8</v>
      </c>
      <c r="L16" s="669">
        <v>1</v>
      </c>
      <c r="M16" s="716">
        <f t="shared" si="3"/>
        <v>2.4</v>
      </c>
      <c r="N16" s="669">
        <v>3</v>
      </c>
      <c r="O16" s="717">
        <f t="shared" si="4"/>
        <v>3</v>
      </c>
      <c r="P16" s="669">
        <v>3</v>
      </c>
      <c r="Q16" s="717">
        <f t="shared" si="5"/>
        <v>2.8</v>
      </c>
      <c r="R16" s="669">
        <v>3</v>
      </c>
      <c r="S16" s="717">
        <f t="shared" si="6"/>
        <v>2.4</v>
      </c>
      <c r="T16" s="669">
        <v>0</v>
      </c>
      <c r="U16" s="717">
        <f t="shared" si="7"/>
        <v>2</v>
      </c>
      <c r="V16" s="669">
        <v>1</v>
      </c>
      <c r="W16" s="717">
        <f t="shared" si="8"/>
        <v>2</v>
      </c>
      <c r="X16" s="669">
        <v>4</v>
      </c>
      <c r="Y16" s="717">
        <f t="shared" si="9"/>
        <v>2.2000000000000002</v>
      </c>
      <c r="Z16" s="669">
        <v>2</v>
      </c>
      <c r="AA16" s="717">
        <f t="shared" si="10"/>
        <v>2</v>
      </c>
      <c r="AB16" s="669">
        <v>1</v>
      </c>
      <c r="AC16" s="717">
        <f t="shared" si="11"/>
        <v>1.6</v>
      </c>
      <c r="AD16" s="669">
        <v>0</v>
      </c>
      <c r="AE16" s="717">
        <f t="shared" si="12"/>
        <v>1.6</v>
      </c>
    </row>
    <row r="17" spans="1:31" ht="18" customHeight="1" x14ac:dyDescent="0.3">
      <c r="A17" s="863" t="s">
        <v>1088</v>
      </c>
      <c r="B17" s="669">
        <v>2</v>
      </c>
      <c r="C17" s="669">
        <v>7</v>
      </c>
      <c r="D17" s="669">
        <v>3</v>
      </c>
      <c r="E17" s="669">
        <v>6</v>
      </c>
      <c r="F17" s="669">
        <v>4</v>
      </c>
      <c r="G17" s="716">
        <f t="shared" si="0"/>
        <v>4.4000000000000004</v>
      </c>
      <c r="H17" s="669">
        <v>7</v>
      </c>
      <c r="I17" s="716">
        <f t="shared" si="1"/>
        <v>5.4</v>
      </c>
      <c r="J17" s="669">
        <v>1</v>
      </c>
      <c r="K17" s="716">
        <f t="shared" si="2"/>
        <v>4.2</v>
      </c>
      <c r="L17" s="669">
        <v>1</v>
      </c>
      <c r="M17" s="716">
        <f t="shared" si="3"/>
        <v>3.8</v>
      </c>
      <c r="N17" s="669">
        <v>6</v>
      </c>
      <c r="O17" s="717">
        <f t="shared" si="4"/>
        <v>3.8</v>
      </c>
      <c r="P17" s="669">
        <v>6</v>
      </c>
      <c r="Q17" s="717">
        <f t="shared" si="5"/>
        <v>4.2</v>
      </c>
      <c r="R17" s="669">
        <v>3</v>
      </c>
      <c r="S17" s="717">
        <f t="shared" si="6"/>
        <v>3.4</v>
      </c>
      <c r="T17" s="669">
        <v>5</v>
      </c>
      <c r="U17" s="717">
        <f t="shared" si="7"/>
        <v>4.2</v>
      </c>
      <c r="V17" s="669">
        <v>6</v>
      </c>
      <c r="W17" s="717">
        <f t="shared" si="8"/>
        <v>5.2</v>
      </c>
      <c r="X17" s="669">
        <v>2</v>
      </c>
      <c r="Y17" s="717">
        <f t="shared" si="9"/>
        <v>4.4000000000000004</v>
      </c>
      <c r="Z17" s="669">
        <v>3</v>
      </c>
      <c r="AA17" s="717">
        <f t="shared" si="10"/>
        <v>3.8</v>
      </c>
      <c r="AB17" s="669">
        <v>1</v>
      </c>
      <c r="AC17" s="717">
        <f t="shared" si="11"/>
        <v>3.4</v>
      </c>
      <c r="AD17" s="669">
        <v>6</v>
      </c>
      <c r="AE17" s="717">
        <f t="shared" si="12"/>
        <v>3.6</v>
      </c>
    </row>
    <row r="18" spans="1:31" ht="18" customHeight="1" x14ac:dyDescent="0.3">
      <c r="A18" s="864" t="s">
        <v>961</v>
      </c>
      <c r="B18" s="715">
        <f>SUM(B11:B17)</f>
        <v>15</v>
      </c>
      <c r="C18" s="715">
        <f>SUM(C11:C17)</f>
        <v>14</v>
      </c>
      <c r="D18" s="715">
        <f>SUM(D11:D17)</f>
        <v>10</v>
      </c>
      <c r="E18" s="715">
        <f>SUM(E11:E17)</f>
        <v>14</v>
      </c>
      <c r="F18" s="715">
        <f>SUM(F11:F17)</f>
        <v>23</v>
      </c>
      <c r="G18" s="716">
        <f t="shared" si="0"/>
        <v>15.2</v>
      </c>
      <c r="H18" s="715">
        <f>SUM(H11:H17)</f>
        <v>22</v>
      </c>
      <c r="I18" s="716">
        <f t="shared" si="1"/>
        <v>16.600000000000001</v>
      </c>
      <c r="J18" s="715">
        <f>SUM(J11:J17)</f>
        <v>10</v>
      </c>
      <c r="K18" s="716">
        <f t="shared" si="2"/>
        <v>15.8</v>
      </c>
      <c r="L18" s="715">
        <f>SUM(L11:L17)</f>
        <v>14</v>
      </c>
      <c r="M18" s="716">
        <f t="shared" si="3"/>
        <v>16.600000000000001</v>
      </c>
      <c r="N18" s="715">
        <f>SUM(N11:N17)</f>
        <v>16</v>
      </c>
      <c r="O18" s="717">
        <f t="shared" si="4"/>
        <v>17</v>
      </c>
      <c r="P18" s="715">
        <f>SUM(P11:P17)</f>
        <v>16</v>
      </c>
      <c r="Q18" s="717">
        <f t="shared" si="5"/>
        <v>15.6</v>
      </c>
      <c r="R18" s="715">
        <f>SUM(R11:R17)</f>
        <v>12</v>
      </c>
      <c r="S18" s="717">
        <f t="shared" si="6"/>
        <v>13.6</v>
      </c>
      <c r="T18" s="715">
        <f>SUM(T11:T17)</f>
        <v>15</v>
      </c>
      <c r="U18" s="717">
        <f t="shared" si="7"/>
        <v>14.6</v>
      </c>
      <c r="V18" s="715">
        <f>SUM(V11:V17)</f>
        <v>16</v>
      </c>
      <c r="W18" s="717">
        <f t="shared" si="8"/>
        <v>15</v>
      </c>
      <c r="X18" s="715">
        <f>SUM(X11:X17)</f>
        <v>12</v>
      </c>
      <c r="Y18" s="717">
        <f t="shared" si="9"/>
        <v>14.2</v>
      </c>
      <c r="Z18" s="715">
        <f>SUM(Z11:Z17)</f>
        <v>10</v>
      </c>
      <c r="AA18" s="717">
        <f t="shared" si="10"/>
        <v>13</v>
      </c>
      <c r="AB18" s="715">
        <f>SUM(AB11:AB17)</f>
        <v>9</v>
      </c>
      <c r="AC18" s="717">
        <f t="shared" si="11"/>
        <v>12.4</v>
      </c>
      <c r="AD18" s="715">
        <f>SUM(AD11:AD17)</f>
        <v>13</v>
      </c>
      <c r="AE18" s="717">
        <f t="shared" si="12"/>
        <v>12</v>
      </c>
    </row>
    <row r="19" spans="1:31" ht="18" customHeight="1" x14ac:dyDescent="0.3">
      <c r="A19" s="984" t="s">
        <v>404</v>
      </c>
      <c r="B19" s="985"/>
      <c r="C19" s="985"/>
      <c r="D19" s="985"/>
      <c r="E19" s="985"/>
      <c r="F19" s="986"/>
      <c r="G19" s="985"/>
      <c r="H19" s="986"/>
      <c r="I19" s="986"/>
      <c r="J19" s="986"/>
      <c r="K19" s="986"/>
      <c r="L19" s="986"/>
      <c r="M19" s="986"/>
      <c r="N19" s="986"/>
      <c r="O19" s="987"/>
      <c r="P19" s="986"/>
      <c r="Q19" s="987"/>
      <c r="R19" s="986"/>
      <c r="S19" s="987"/>
      <c r="T19" s="986"/>
      <c r="U19" s="987"/>
      <c r="V19" s="986"/>
      <c r="W19" s="987"/>
      <c r="X19" s="986"/>
      <c r="Y19" s="987"/>
      <c r="Z19" s="986"/>
      <c r="AA19" s="987"/>
      <c r="AB19" s="986"/>
      <c r="AC19" s="987"/>
      <c r="AD19" s="986"/>
      <c r="AE19" s="987"/>
    </row>
    <row r="20" spans="1:31" ht="18" customHeight="1" x14ac:dyDescent="0.3">
      <c r="A20" s="863" t="s">
        <v>996</v>
      </c>
      <c r="B20" s="669">
        <v>48</v>
      </c>
      <c r="C20" s="669">
        <v>41</v>
      </c>
      <c r="D20" s="669">
        <v>36</v>
      </c>
      <c r="E20" s="669">
        <v>28</v>
      </c>
      <c r="F20" s="669">
        <v>29</v>
      </c>
      <c r="G20" s="716">
        <f>AVERAGE(B20:F20)</f>
        <v>36.4</v>
      </c>
      <c r="H20" s="669">
        <v>18</v>
      </c>
      <c r="I20" s="716">
        <f>(+H20+F20+E20+D20+C20)/5</f>
        <v>30.4</v>
      </c>
      <c r="J20" s="669">
        <v>22</v>
      </c>
      <c r="K20" s="716">
        <f>(+J20+H20+F20+E20+D20)/5</f>
        <v>26.6</v>
      </c>
      <c r="L20" s="669">
        <v>20</v>
      </c>
      <c r="M20" s="716">
        <f>(L20+J20+H20+F20+E20)/5</f>
        <v>23.4</v>
      </c>
      <c r="N20" s="669">
        <v>27</v>
      </c>
      <c r="O20" s="717">
        <f>(+N20+L20+J20+H20+F20)/5</f>
        <v>23.2</v>
      </c>
      <c r="P20" s="669">
        <v>21</v>
      </c>
      <c r="Q20" s="717">
        <f>(P20+N20+L20+J20+H20)/5</f>
        <v>21.6</v>
      </c>
      <c r="R20" s="669">
        <v>49</v>
      </c>
      <c r="S20" s="717">
        <f>(R20+P20+N20+L20+J20)/5</f>
        <v>27.8</v>
      </c>
      <c r="T20" s="669">
        <v>24</v>
      </c>
      <c r="U20" s="717">
        <f>(T20+R20+P20+N20+L20)/5</f>
        <v>28.2</v>
      </c>
      <c r="V20" s="669">
        <v>31</v>
      </c>
      <c r="W20" s="717">
        <f>(V20+T20+R20+P20+N20)/5</f>
        <v>30.4</v>
      </c>
      <c r="X20" s="669">
        <v>32</v>
      </c>
      <c r="Y20" s="717">
        <f>(X20+V20+T20+R20+P20)/5</f>
        <v>31.4</v>
      </c>
      <c r="Z20" s="669">
        <v>40</v>
      </c>
      <c r="AA20" s="717">
        <f>(Z20+X20+V20+T20+R20)/5</f>
        <v>35.200000000000003</v>
      </c>
      <c r="AB20" s="669">
        <v>49</v>
      </c>
      <c r="AC20" s="717">
        <f>(AB20+Z20+X20+V20+T20)/5</f>
        <v>35.200000000000003</v>
      </c>
      <c r="AD20" s="669">
        <v>43</v>
      </c>
      <c r="AE20" s="717">
        <f>(AD20+AB20+Z20+X20+V20)/5</f>
        <v>39</v>
      </c>
    </row>
    <row r="21" spans="1:31" ht="18" customHeight="1" x14ac:dyDescent="0.3">
      <c r="A21" s="863" t="s">
        <v>1318</v>
      </c>
      <c r="B21" s="669">
        <v>0</v>
      </c>
      <c r="C21" s="669">
        <v>0</v>
      </c>
      <c r="D21" s="669">
        <v>0</v>
      </c>
      <c r="E21" s="669">
        <v>0</v>
      </c>
      <c r="F21" s="669">
        <v>1</v>
      </c>
      <c r="G21" s="716">
        <f>AVERAGE(B21:F21)</f>
        <v>0.2</v>
      </c>
      <c r="H21" s="669">
        <v>1</v>
      </c>
      <c r="I21" s="716">
        <f>(+H21+F21+E21+D21+C21)/5</f>
        <v>0.4</v>
      </c>
      <c r="J21" s="669">
        <v>8</v>
      </c>
      <c r="K21" s="716">
        <f>(+J21+H21+F21+E21+D21)/5</f>
        <v>2</v>
      </c>
      <c r="L21" s="669">
        <v>8</v>
      </c>
      <c r="M21" s="716">
        <f>(L21+J21+H21+F21+E21)/5</f>
        <v>3.6</v>
      </c>
      <c r="N21" s="669">
        <f>2+16</f>
        <v>18</v>
      </c>
      <c r="O21" s="717">
        <f>(+N21+L21+J21+H21+F21)/5</f>
        <v>7.2</v>
      </c>
      <c r="P21" s="669">
        <v>9</v>
      </c>
      <c r="Q21" s="717">
        <f>(P21+N21+L21+J21+H21)/5</f>
        <v>8.8000000000000007</v>
      </c>
      <c r="R21" s="669">
        <v>8</v>
      </c>
      <c r="S21" s="717">
        <f>(R21+P21+N21+L21+J21)/5</f>
        <v>10.199999999999999</v>
      </c>
      <c r="T21" s="669">
        <v>12</v>
      </c>
      <c r="U21" s="717">
        <f>(T21+R21+P21+N21+L21)/5</f>
        <v>11</v>
      </c>
      <c r="V21" s="669">
        <v>16</v>
      </c>
      <c r="W21" s="717">
        <f>(V21+T21+R21+P21+N21)/5</f>
        <v>12.6</v>
      </c>
      <c r="X21" s="669">
        <v>19</v>
      </c>
      <c r="Y21" s="717">
        <f>(X21+V21+T21+R21+P21)/5</f>
        <v>12.8</v>
      </c>
      <c r="Z21" s="669">
        <v>8</v>
      </c>
      <c r="AA21" s="717">
        <f>(Z21+X21+V21+T21+R21)/5</f>
        <v>12.6</v>
      </c>
      <c r="AB21" s="669">
        <v>19</v>
      </c>
      <c r="AC21" s="717">
        <f>(AB21+Z21+X21+V21+T21)/5</f>
        <v>14.8</v>
      </c>
      <c r="AD21" s="669">
        <v>11</v>
      </c>
      <c r="AE21" s="717">
        <f>(AD21+AB21+Z21+X21+V21)/5</f>
        <v>14.6</v>
      </c>
    </row>
    <row r="22" spans="1:31" ht="18" customHeight="1" x14ac:dyDescent="0.3">
      <c r="A22" s="864" t="s">
        <v>961</v>
      </c>
      <c r="B22" s="715">
        <f>SUM(B20:B21)</f>
        <v>48</v>
      </c>
      <c r="C22" s="715">
        <f>SUM(C20:C21)</f>
        <v>41</v>
      </c>
      <c r="D22" s="715">
        <f>SUM(D20:D21)</f>
        <v>36</v>
      </c>
      <c r="E22" s="715">
        <f>SUM(E20:E21)</f>
        <v>28</v>
      </c>
      <c r="F22" s="715">
        <f>SUM(F20:F21)</f>
        <v>30</v>
      </c>
      <c r="G22" s="716">
        <f>AVERAGE(B22:F22)</f>
        <v>36.6</v>
      </c>
      <c r="H22" s="715">
        <f>SUM(H20:H21)</f>
        <v>19</v>
      </c>
      <c r="I22" s="716">
        <f>(+H22+F22+E22+D22+C22)/5</f>
        <v>30.8</v>
      </c>
      <c r="J22" s="715">
        <f>SUM(J20:J21)</f>
        <v>30</v>
      </c>
      <c r="K22" s="716">
        <f>(+J22+H22+F22+E22+D22)/5</f>
        <v>28.6</v>
      </c>
      <c r="L22" s="715">
        <f>SUM(L20:L21)</f>
        <v>28</v>
      </c>
      <c r="M22" s="716">
        <f>(L22+J22+H22+F22+E22)/5</f>
        <v>27</v>
      </c>
      <c r="N22" s="715">
        <f>SUM(N20:N21)</f>
        <v>45</v>
      </c>
      <c r="O22" s="717">
        <f>(+N22+L22+J22+H22+F22)/5</f>
        <v>30.4</v>
      </c>
      <c r="P22" s="715">
        <f>SUM(P20:P21)</f>
        <v>30</v>
      </c>
      <c r="Q22" s="717">
        <f>(P22+N22+L22+J22+H22)/5</f>
        <v>30.4</v>
      </c>
      <c r="R22" s="715">
        <f>SUM(R20:R21)</f>
        <v>57</v>
      </c>
      <c r="S22" s="717">
        <f>(R22+P22+N22+L22+J22)/5</f>
        <v>38</v>
      </c>
      <c r="T22" s="715">
        <f>SUM(T20:T21)</f>
        <v>36</v>
      </c>
      <c r="U22" s="717">
        <f>(T22+R22+P22+N22+L22)/5</f>
        <v>39.200000000000003</v>
      </c>
      <c r="V22" s="715">
        <f>SUM(V20:V21)</f>
        <v>47</v>
      </c>
      <c r="W22" s="717">
        <f>(V22+T22+R22+P22+N22)/5</f>
        <v>43</v>
      </c>
      <c r="X22" s="715">
        <f>SUM(X20:X21)</f>
        <v>51</v>
      </c>
      <c r="Y22" s="717">
        <f>(X22+V22+T22+R22+P22)/5</f>
        <v>44.2</v>
      </c>
      <c r="Z22" s="715">
        <f>SUM(Z20:Z21)</f>
        <v>48</v>
      </c>
      <c r="AA22" s="717">
        <f>(Z22+X22+V22+T22+R22)/5</f>
        <v>47.8</v>
      </c>
      <c r="AB22" s="715">
        <f>SUM(AB20:AB21)</f>
        <v>68</v>
      </c>
      <c r="AC22" s="717">
        <f>(AB22+Z22+X22+V22+T22)/5</f>
        <v>50</v>
      </c>
      <c r="AD22" s="715">
        <f>SUM(AD20:AD21)</f>
        <v>54</v>
      </c>
      <c r="AE22" s="717">
        <f>(AD22+AB22+Z22+X22+V22)/5</f>
        <v>53.6</v>
      </c>
    </row>
    <row r="23" spans="1:31" ht="18" customHeight="1" x14ac:dyDescent="0.3">
      <c r="A23" s="984" t="s">
        <v>405</v>
      </c>
      <c r="B23" s="985"/>
      <c r="C23" s="985"/>
      <c r="D23" s="985"/>
      <c r="E23" s="985"/>
      <c r="F23" s="986"/>
      <c r="G23" s="985"/>
      <c r="H23" s="986"/>
      <c r="I23" s="986"/>
      <c r="J23" s="986"/>
      <c r="K23" s="986"/>
      <c r="L23" s="986"/>
      <c r="M23" s="986"/>
      <c r="N23" s="986"/>
      <c r="O23" s="987"/>
      <c r="P23" s="986"/>
      <c r="Q23" s="987"/>
      <c r="R23" s="986"/>
      <c r="S23" s="987"/>
      <c r="T23" s="986"/>
      <c r="U23" s="987"/>
      <c r="V23" s="986"/>
      <c r="W23" s="987"/>
      <c r="X23" s="986"/>
      <c r="Y23" s="987"/>
      <c r="Z23" s="986"/>
      <c r="AA23" s="987"/>
      <c r="AB23" s="986"/>
      <c r="AC23" s="987"/>
      <c r="AD23" s="986"/>
      <c r="AE23" s="987"/>
    </row>
    <row r="24" spans="1:31" ht="18" customHeight="1" x14ac:dyDescent="0.3">
      <c r="A24" s="863" t="s">
        <v>1058</v>
      </c>
      <c r="B24" s="669">
        <v>5</v>
      </c>
      <c r="C24" s="669">
        <v>11</v>
      </c>
      <c r="D24" s="669">
        <v>7</v>
      </c>
      <c r="E24" s="669">
        <v>2</v>
      </c>
      <c r="F24" s="669">
        <v>3</v>
      </c>
      <c r="G24" s="716">
        <f t="shared" ref="G24:G29" si="13">AVERAGE(B24:F24)</f>
        <v>5.6</v>
      </c>
      <c r="H24" s="669">
        <v>2</v>
      </c>
      <c r="I24" s="716">
        <f t="shared" ref="I24:I29" si="14">(+H24+F24+E24+D24+C24)/5</f>
        <v>5</v>
      </c>
      <c r="J24" s="669">
        <v>5</v>
      </c>
      <c r="K24" s="716">
        <f t="shared" ref="K24:K29" si="15">(+J24+H24+F24+E24+D24)/5</f>
        <v>3.8</v>
      </c>
      <c r="L24" s="669">
        <v>10</v>
      </c>
      <c r="M24" s="716">
        <f t="shared" ref="M24:M29" si="16">(L24+J24+H24+F24+E24)/5</f>
        <v>4.4000000000000004</v>
      </c>
      <c r="N24" s="669">
        <v>6</v>
      </c>
      <c r="O24" s="717">
        <f t="shared" ref="O24:O29" si="17">(+N24+L24+J24+H24+F24)/5</f>
        <v>5.2</v>
      </c>
      <c r="P24" s="669">
        <v>5</v>
      </c>
      <c r="Q24" s="717">
        <f t="shared" ref="Q24:Q29" si="18">(P24+N24+L24+J24+H24)/5</f>
        <v>5.6</v>
      </c>
      <c r="R24" s="669">
        <v>9</v>
      </c>
      <c r="S24" s="717">
        <f t="shared" ref="S24:S29" si="19">(R24+P24+N24+L24+J24)/5</f>
        <v>7</v>
      </c>
      <c r="T24" s="669">
        <v>7</v>
      </c>
      <c r="U24" s="717">
        <f t="shared" ref="U24:U29" si="20">(T24+R24+P24+N24+L24)/5</f>
        <v>7.4</v>
      </c>
      <c r="V24" s="669">
        <v>11</v>
      </c>
      <c r="W24" s="717">
        <f t="shared" ref="W24:W29" si="21">(V24+T24+R24+P24+N24)/5</f>
        <v>7.6</v>
      </c>
      <c r="X24" s="669">
        <v>12</v>
      </c>
      <c r="Y24" s="717">
        <f t="shared" ref="Y24:Y29" si="22">(X24+V24+T24+R24+P24)/5</f>
        <v>8.8000000000000007</v>
      </c>
      <c r="Z24" s="669">
        <v>6</v>
      </c>
      <c r="AA24" s="717">
        <f t="shared" ref="AA24:AA29" si="23">(Z24+X24+V24+T24+R24)/5</f>
        <v>9</v>
      </c>
      <c r="AB24" s="669">
        <v>8</v>
      </c>
      <c r="AC24" s="717">
        <f t="shared" ref="AC24:AC29" si="24">(AB24+Z24+X24+V24+T24)/5</f>
        <v>8.8000000000000007</v>
      </c>
      <c r="AD24" s="669">
        <v>7</v>
      </c>
      <c r="AE24" s="717">
        <f t="shared" ref="AE24:AE29" si="25">(AD24+AB24+Z24+X24+V24)/5</f>
        <v>8.8000000000000007</v>
      </c>
    </row>
    <row r="25" spans="1:31" ht="18" customHeight="1" x14ac:dyDescent="0.3">
      <c r="A25" s="863" t="s">
        <v>393</v>
      </c>
      <c r="B25" s="669">
        <v>1</v>
      </c>
      <c r="C25" s="669">
        <v>0</v>
      </c>
      <c r="D25" s="669">
        <v>1</v>
      </c>
      <c r="E25" s="669">
        <v>0</v>
      </c>
      <c r="F25" s="669">
        <v>0</v>
      </c>
      <c r="G25" s="716">
        <f t="shared" si="13"/>
        <v>0.4</v>
      </c>
      <c r="H25" s="669">
        <v>0</v>
      </c>
      <c r="I25" s="716">
        <f t="shared" si="14"/>
        <v>0.2</v>
      </c>
      <c r="J25" s="669">
        <v>0</v>
      </c>
      <c r="K25" s="716">
        <f t="shared" si="15"/>
        <v>0.2</v>
      </c>
      <c r="L25" s="669">
        <v>0</v>
      </c>
      <c r="M25" s="716">
        <f t="shared" si="16"/>
        <v>0</v>
      </c>
      <c r="N25" s="669">
        <v>0</v>
      </c>
      <c r="O25" s="717">
        <f t="shared" si="17"/>
        <v>0</v>
      </c>
      <c r="P25" s="669">
        <v>0</v>
      </c>
      <c r="Q25" s="717">
        <f t="shared" si="18"/>
        <v>0</v>
      </c>
      <c r="R25" s="669">
        <v>0</v>
      </c>
      <c r="S25" s="717">
        <f t="shared" si="19"/>
        <v>0</v>
      </c>
      <c r="T25" s="669">
        <v>0</v>
      </c>
      <c r="U25" s="717">
        <f t="shared" si="20"/>
        <v>0</v>
      </c>
      <c r="V25" s="669">
        <v>0</v>
      </c>
      <c r="W25" s="717">
        <f t="shared" si="21"/>
        <v>0</v>
      </c>
      <c r="X25" s="669">
        <v>0</v>
      </c>
      <c r="Y25" s="717">
        <f t="shared" si="22"/>
        <v>0</v>
      </c>
      <c r="Z25" s="669">
        <v>0</v>
      </c>
      <c r="AA25" s="717">
        <f t="shared" si="23"/>
        <v>0</v>
      </c>
      <c r="AB25" s="669">
        <v>0</v>
      </c>
      <c r="AC25" s="717">
        <f t="shared" si="24"/>
        <v>0</v>
      </c>
      <c r="AD25" s="669">
        <v>0</v>
      </c>
      <c r="AE25" s="717">
        <f t="shared" si="25"/>
        <v>0</v>
      </c>
    </row>
    <row r="26" spans="1:31" ht="18" customHeight="1" x14ac:dyDescent="0.3">
      <c r="A26" s="863" t="s">
        <v>1060</v>
      </c>
      <c r="B26" s="669">
        <v>0</v>
      </c>
      <c r="C26" s="669">
        <v>0</v>
      </c>
      <c r="D26" s="669">
        <v>0</v>
      </c>
      <c r="E26" s="669">
        <v>0</v>
      </c>
      <c r="F26" s="669">
        <v>5</v>
      </c>
      <c r="G26" s="716">
        <f t="shared" si="13"/>
        <v>1</v>
      </c>
      <c r="H26" s="669">
        <v>0</v>
      </c>
      <c r="I26" s="716">
        <f t="shared" si="14"/>
        <v>1</v>
      </c>
      <c r="J26" s="669">
        <v>6</v>
      </c>
      <c r="K26" s="716">
        <f t="shared" si="15"/>
        <v>2.2000000000000002</v>
      </c>
      <c r="L26" s="669">
        <v>4</v>
      </c>
      <c r="M26" s="716">
        <f t="shared" si="16"/>
        <v>3</v>
      </c>
      <c r="N26" s="669">
        <v>5</v>
      </c>
      <c r="O26" s="717">
        <f t="shared" si="17"/>
        <v>4</v>
      </c>
      <c r="P26" s="669">
        <v>6</v>
      </c>
      <c r="Q26" s="717">
        <f t="shared" si="18"/>
        <v>4.2</v>
      </c>
      <c r="R26" s="669">
        <v>3</v>
      </c>
      <c r="S26" s="717">
        <f t="shared" si="19"/>
        <v>4.8</v>
      </c>
      <c r="T26" s="669">
        <v>1</v>
      </c>
      <c r="U26" s="717">
        <f t="shared" si="20"/>
        <v>3.8</v>
      </c>
      <c r="V26" s="669">
        <v>1</v>
      </c>
      <c r="W26" s="717">
        <f t="shared" si="21"/>
        <v>3.2</v>
      </c>
      <c r="X26" s="669">
        <v>1</v>
      </c>
      <c r="Y26" s="717">
        <f t="shared" si="22"/>
        <v>2.4</v>
      </c>
      <c r="Z26" s="669">
        <v>4</v>
      </c>
      <c r="AA26" s="717">
        <f t="shared" si="23"/>
        <v>2</v>
      </c>
      <c r="AB26" s="669">
        <v>3</v>
      </c>
      <c r="AC26" s="717">
        <f t="shared" si="24"/>
        <v>2</v>
      </c>
      <c r="AD26" s="669">
        <v>4</v>
      </c>
      <c r="AE26" s="717">
        <f t="shared" si="25"/>
        <v>2.6</v>
      </c>
    </row>
    <row r="27" spans="1:31" ht="18" customHeight="1" x14ac:dyDescent="0.3">
      <c r="A27" s="863" t="s">
        <v>1061</v>
      </c>
      <c r="B27" s="669">
        <v>0</v>
      </c>
      <c r="C27" s="669">
        <v>1</v>
      </c>
      <c r="D27" s="669">
        <v>0</v>
      </c>
      <c r="E27" s="669">
        <v>1</v>
      </c>
      <c r="F27" s="669">
        <v>2</v>
      </c>
      <c r="G27" s="716">
        <f t="shared" si="13"/>
        <v>0.8</v>
      </c>
      <c r="H27" s="669">
        <v>1</v>
      </c>
      <c r="I27" s="716">
        <f t="shared" si="14"/>
        <v>1</v>
      </c>
      <c r="J27" s="669">
        <v>0</v>
      </c>
      <c r="K27" s="716">
        <f t="shared" si="15"/>
        <v>0.8</v>
      </c>
      <c r="L27" s="669">
        <v>0</v>
      </c>
      <c r="M27" s="716">
        <f t="shared" si="16"/>
        <v>0.8</v>
      </c>
      <c r="N27" s="669">
        <v>0</v>
      </c>
      <c r="O27" s="717">
        <f t="shared" si="17"/>
        <v>0.6</v>
      </c>
      <c r="P27" s="669">
        <v>0</v>
      </c>
      <c r="Q27" s="717">
        <f t="shared" si="18"/>
        <v>0.2</v>
      </c>
      <c r="R27" s="669">
        <v>0</v>
      </c>
      <c r="S27" s="717">
        <f t="shared" si="19"/>
        <v>0</v>
      </c>
      <c r="T27" s="669">
        <v>0</v>
      </c>
      <c r="U27" s="717">
        <f t="shared" si="20"/>
        <v>0</v>
      </c>
      <c r="V27" s="669">
        <v>0</v>
      </c>
      <c r="W27" s="717">
        <f t="shared" si="21"/>
        <v>0</v>
      </c>
      <c r="X27" s="669">
        <v>0</v>
      </c>
      <c r="Y27" s="717">
        <f t="shared" si="22"/>
        <v>0</v>
      </c>
      <c r="Z27" s="669">
        <v>0</v>
      </c>
      <c r="AA27" s="717">
        <f t="shared" si="23"/>
        <v>0</v>
      </c>
      <c r="AB27" s="669">
        <v>0</v>
      </c>
      <c r="AC27" s="717">
        <f t="shared" si="24"/>
        <v>0</v>
      </c>
      <c r="AD27" s="669">
        <v>0</v>
      </c>
      <c r="AE27" s="717">
        <f t="shared" si="25"/>
        <v>0</v>
      </c>
    </row>
    <row r="28" spans="1:31" ht="18" customHeight="1" x14ac:dyDescent="0.3">
      <c r="A28" s="864" t="s">
        <v>961</v>
      </c>
      <c r="B28" s="715">
        <f>SUM(B24:B27)</f>
        <v>6</v>
      </c>
      <c r="C28" s="715">
        <f>SUM(C24:C27)</f>
        <v>12</v>
      </c>
      <c r="D28" s="715">
        <f>SUM(D24:D27)</f>
        <v>8</v>
      </c>
      <c r="E28" s="715">
        <f>SUM(E24:E27)</f>
        <v>3</v>
      </c>
      <c r="F28" s="715">
        <f>SUM(F24:F27)</f>
        <v>10</v>
      </c>
      <c r="G28" s="716">
        <f t="shared" si="13"/>
        <v>7.8</v>
      </c>
      <c r="H28" s="715">
        <f>SUM(H24:H27)</f>
        <v>3</v>
      </c>
      <c r="I28" s="716">
        <f t="shared" si="14"/>
        <v>7.2</v>
      </c>
      <c r="J28" s="715">
        <f>SUM(J24:J27)</f>
        <v>11</v>
      </c>
      <c r="K28" s="716">
        <f t="shared" si="15"/>
        <v>7</v>
      </c>
      <c r="L28" s="715">
        <f>SUM(L24:L27)</f>
        <v>14</v>
      </c>
      <c r="M28" s="716">
        <f t="shared" si="16"/>
        <v>8.1999999999999993</v>
      </c>
      <c r="N28" s="715">
        <f>SUM(N24:N27)</f>
        <v>11</v>
      </c>
      <c r="O28" s="717">
        <f t="shared" si="17"/>
        <v>9.8000000000000007</v>
      </c>
      <c r="P28" s="715">
        <f>SUM(P24:P27)</f>
        <v>11</v>
      </c>
      <c r="Q28" s="717">
        <f t="shared" si="18"/>
        <v>10</v>
      </c>
      <c r="R28" s="715">
        <f>SUM(R24:R27)</f>
        <v>12</v>
      </c>
      <c r="S28" s="717">
        <f t="shared" si="19"/>
        <v>11.8</v>
      </c>
      <c r="T28" s="715">
        <f>SUM(T24:T27)</f>
        <v>8</v>
      </c>
      <c r="U28" s="717">
        <f t="shared" si="20"/>
        <v>11.2</v>
      </c>
      <c r="V28" s="715">
        <f>SUM(V24:V27)</f>
        <v>12</v>
      </c>
      <c r="W28" s="717">
        <f t="shared" si="21"/>
        <v>10.8</v>
      </c>
      <c r="X28" s="715">
        <f>SUM(X24:X27)</f>
        <v>13</v>
      </c>
      <c r="Y28" s="717">
        <f t="shared" si="22"/>
        <v>11.2</v>
      </c>
      <c r="Z28" s="715">
        <f>SUM(Z24:Z27)</f>
        <v>10</v>
      </c>
      <c r="AA28" s="717">
        <f t="shared" si="23"/>
        <v>11</v>
      </c>
      <c r="AB28" s="715">
        <f>SUM(AB24:AB27)</f>
        <v>11</v>
      </c>
      <c r="AC28" s="717">
        <f t="shared" si="24"/>
        <v>10.8</v>
      </c>
      <c r="AD28" s="715">
        <f>SUM(AD24:AD27)</f>
        <v>11</v>
      </c>
      <c r="AE28" s="717">
        <f t="shared" si="25"/>
        <v>11.4</v>
      </c>
    </row>
    <row r="29" spans="1:31" ht="18" customHeight="1" thickBot="1" x14ac:dyDescent="0.35">
      <c r="A29" s="971" t="s">
        <v>406</v>
      </c>
      <c r="B29" s="972">
        <f>+B28+B22+B18+B9</f>
        <v>82</v>
      </c>
      <c r="C29" s="972">
        <f>+C28+C22+C18+C9</f>
        <v>80</v>
      </c>
      <c r="D29" s="972">
        <f>+D28+D22+D18+D9</f>
        <v>65</v>
      </c>
      <c r="E29" s="972">
        <f>+E28+E22+E18+E9</f>
        <v>61</v>
      </c>
      <c r="F29" s="972">
        <f>+F28+F22+F18+F9</f>
        <v>74</v>
      </c>
      <c r="G29" s="724">
        <f t="shared" si="13"/>
        <v>72.400000000000006</v>
      </c>
      <c r="H29" s="972">
        <f>+H28+H22+H18+H9</f>
        <v>54</v>
      </c>
      <c r="I29" s="724">
        <f t="shared" si="14"/>
        <v>66.8</v>
      </c>
      <c r="J29" s="972">
        <f>+J28+J22+J18+J9</f>
        <v>61</v>
      </c>
      <c r="K29" s="724">
        <f t="shared" si="15"/>
        <v>63</v>
      </c>
      <c r="L29" s="972">
        <f>+L28+L22+L18+L9</f>
        <v>65</v>
      </c>
      <c r="M29" s="725">
        <f t="shared" si="16"/>
        <v>63</v>
      </c>
      <c r="N29" s="975">
        <f>+N28+N22+N18+N9</f>
        <v>80</v>
      </c>
      <c r="O29" s="727">
        <f t="shared" si="17"/>
        <v>66.8</v>
      </c>
      <c r="P29" s="975">
        <f>+P28+P22+P18+P9</f>
        <v>65</v>
      </c>
      <c r="Q29" s="727">
        <f t="shared" si="18"/>
        <v>65</v>
      </c>
      <c r="R29" s="975">
        <f>+R28+R22+R18+R9</f>
        <v>83</v>
      </c>
      <c r="S29" s="727">
        <f t="shared" si="19"/>
        <v>70.8</v>
      </c>
      <c r="T29" s="975">
        <f>+T28+T22+T18+T9</f>
        <v>72</v>
      </c>
      <c r="U29" s="727">
        <f t="shared" si="20"/>
        <v>73</v>
      </c>
      <c r="V29" s="975">
        <f>+V28+V22+V18+V9</f>
        <v>91</v>
      </c>
      <c r="W29" s="727">
        <f t="shared" si="21"/>
        <v>78.2</v>
      </c>
      <c r="X29" s="975">
        <f>+X28+X22+X18+X9</f>
        <v>85</v>
      </c>
      <c r="Y29" s="727">
        <f t="shared" si="22"/>
        <v>79.2</v>
      </c>
      <c r="Z29" s="975">
        <f>+Z28+Z22+Z18+Z9</f>
        <v>87</v>
      </c>
      <c r="AA29" s="727">
        <f t="shared" si="23"/>
        <v>83.6</v>
      </c>
      <c r="AB29" s="975">
        <f>+AB28+AB22+AB18+AB9</f>
        <v>94</v>
      </c>
      <c r="AC29" s="727">
        <f t="shared" si="24"/>
        <v>85.8</v>
      </c>
      <c r="AD29" s="975">
        <f>+AD28+AD22+AD18+AD9</f>
        <v>93</v>
      </c>
      <c r="AE29" s="727">
        <f t="shared" si="25"/>
        <v>90</v>
      </c>
    </row>
    <row r="30" spans="1:31" ht="20.25" customHeight="1" thickBot="1" x14ac:dyDescent="0.35">
      <c r="A30" s="1779" t="s">
        <v>407</v>
      </c>
      <c r="B30" s="1780"/>
      <c r="C30" s="1780"/>
      <c r="D30" s="1780"/>
      <c r="E30" s="1780"/>
      <c r="F30" s="1780"/>
      <c r="G30" s="1780"/>
      <c r="H30" s="1780"/>
      <c r="I30" s="1780"/>
      <c r="J30" s="1780"/>
      <c r="K30" s="1780"/>
      <c r="L30" s="1780"/>
      <c r="M30" s="1780"/>
      <c r="N30" s="1780"/>
      <c r="O30" s="1780"/>
      <c r="P30" s="1780"/>
      <c r="Q30" s="1780"/>
      <c r="R30" s="1780"/>
      <c r="S30" s="1780"/>
      <c r="T30" s="1780"/>
      <c r="U30" s="1780"/>
      <c r="V30" s="1780"/>
      <c r="W30" s="1780"/>
      <c r="X30" s="1780"/>
      <c r="Y30" s="1780"/>
      <c r="Z30" s="1780"/>
      <c r="AA30" s="1780"/>
      <c r="AB30" s="1780"/>
      <c r="AC30" s="1780"/>
      <c r="AD30" s="1780"/>
      <c r="AE30" s="1781"/>
    </row>
    <row r="31" spans="1:31" ht="20.25" customHeight="1" x14ac:dyDescent="0.3">
      <c r="A31" s="675" t="s">
        <v>401</v>
      </c>
      <c r="B31" s="673" t="s">
        <v>391</v>
      </c>
      <c r="C31" s="673" t="s">
        <v>1297</v>
      </c>
      <c r="D31" s="673" t="s">
        <v>1298</v>
      </c>
      <c r="E31" s="673" t="s">
        <v>1299</v>
      </c>
      <c r="F31" s="671" t="s">
        <v>738</v>
      </c>
      <c r="G31" s="714" t="s">
        <v>475</v>
      </c>
      <c r="H31" s="671" t="s">
        <v>596</v>
      </c>
      <c r="I31" s="714" t="s">
        <v>475</v>
      </c>
      <c r="J31" s="671" t="s">
        <v>1306</v>
      </c>
      <c r="K31" s="714" t="s">
        <v>475</v>
      </c>
      <c r="L31" s="671" t="s">
        <v>1052</v>
      </c>
      <c r="M31" s="714" t="s">
        <v>475</v>
      </c>
      <c r="N31" s="676" t="s">
        <v>274</v>
      </c>
      <c r="O31" s="714" t="s">
        <v>475</v>
      </c>
      <c r="P31" s="676" t="s">
        <v>1261</v>
      </c>
      <c r="Q31" s="714" t="s">
        <v>475</v>
      </c>
      <c r="R31" s="676" t="s">
        <v>363</v>
      </c>
      <c r="S31" s="714" t="s">
        <v>475</v>
      </c>
      <c r="T31" s="676" t="s">
        <v>583</v>
      </c>
      <c r="U31" s="714" t="s">
        <v>475</v>
      </c>
      <c r="V31" s="676" t="str">
        <f>+V4</f>
        <v>2008-2009</v>
      </c>
      <c r="W31" s="714" t="s">
        <v>475</v>
      </c>
      <c r="X31" s="671" t="s">
        <v>1388</v>
      </c>
      <c r="Y31" s="714" t="s">
        <v>475</v>
      </c>
      <c r="Z31" s="671" t="s">
        <v>1389</v>
      </c>
      <c r="AA31" s="714" t="s">
        <v>475</v>
      </c>
      <c r="AB31" s="671" t="s">
        <v>1377</v>
      </c>
      <c r="AC31" s="714" t="s">
        <v>475</v>
      </c>
      <c r="AD31" s="671" t="s">
        <v>1503</v>
      </c>
      <c r="AE31" s="714" t="s">
        <v>475</v>
      </c>
    </row>
    <row r="32" spans="1:31" ht="18" customHeight="1" x14ac:dyDescent="0.3">
      <c r="A32" s="984" t="s">
        <v>408</v>
      </c>
      <c r="B32" s="985"/>
      <c r="C32" s="985"/>
      <c r="D32" s="985"/>
      <c r="E32" s="985"/>
      <c r="F32" s="986"/>
      <c r="G32" s="986"/>
      <c r="H32" s="986"/>
      <c r="I32" s="986"/>
      <c r="J32" s="986"/>
      <c r="K32" s="986"/>
      <c r="L32" s="986"/>
      <c r="M32" s="986"/>
      <c r="N32" s="986"/>
      <c r="O32" s="990"/>
      <c r="P32" s="986"/>
      <c r="Q32" s="990"/>
      <c r="R32" s="986"/>
      <c r="S32" s="990"/>
      <c r="T32" s="986"/>
      <c r="U32" s="990"/>
      <c r="V32" s="986"/>
      <c r="W32" s="990"/>
      <c r="X32" s="986"/>
      <c r="Y32" s="990"/>
      <c r="Z32" s="986"/>
      <c r="AA32" s="990"/>
      <c r="AB32" s="986"/>
      <c r="AC32" s="990"/>
      <c r="AD32" s="986"/>
      <c r="AE32" s="990"/>
    </row>
    <row r="33" spans="1:31" ht="18" customHeight="1" x14ac:dyDescent="0.3">
      <c r="A33" s="863" t="s">
        <v>1075</v>
      </c>
      <c r="B33" s="669">
        <v>20</v>
      </c>
      <c r="C33" s="669">
        <v>17</v>
      </c>
      <c r="D33" s="669">
        <v>18</v>
      </c>
      <c r="E33" s="669">
        <v>19</v>
      </c>
      <c r="F33" s="669">
        <v>10</v>
      </c>
      <c r="G33" s="716">
        <f>AVERAGE(B33:F33)</f>
        <v>16.8</v>
      </c>
      <c r="H33" s="669">
        <v>12</v>
      </c>
      <c r="I33" s="716">
        <f>(+H33+F33+E33+D33+C33)/5</f>
        <v>15.2</v>
      </c>
      <c r="J33" s="669">
        <v>23</v>
      </c>
      <c r="K33" s="716">
        <f>(+J33+H33+F33+E33+D33)/5</f>
        <v>16.399999999999999</v>
      </c>
      <c r="L33" s="669">
        <v>22</v>
      </c>
      <c r="M33" s="716">
        <f>(L33+J33+H33+F33+E33)/5</f>
        <v>17.2</v>
      </c>
      <c r="N33" s="669">
        <v>17</v>
      </c>
      <c r="O33" s="717">
        <f>(+N33+L33+J33+H33+F33)/5</f>
        <v>16.8</v>
      </c>
      <c r="P33" s="669">
        <v>17</v>
      </c>
      <c r="Q33" s="717">
        <f>(P33+N33+L33+J33+H33)/5</f>
        <v>18.2</v>
      </c>
      <c r="R33" s="669">
        <v>14</v>
      </c>
      <c r="S33" s="717">
        <f>(R33+P33+N33+L33+J33)/5</f>
        <v>18.600000000000001</v>
      </c>
      <c r="T33" s="669">
        <v>9</v>
      </c>
      <c r="U33" s="717">
        <f>(T33+R33+P33+N33+L33)/5</f>
        <v>15.8</v>
      </c>
      <c r="V33" s="669">
        <v>10</v>
      </c>
      <c r="W33" s="717">
        <f>(V33+T33+R33+P33+N33)/5</f>
        <v>13.4</v>
      </c>
      <c r="X33" s="669">
        <v>22</v>
      </c>
      <c r="Y33" s="717">
        <f>(X33+V33+T33+R33+P33)/5</f>
        <v>14.4</v>
      </c>
      <c r="Z33" s="669">
        <v>8</v>
      </c>
      <c r="AA33" s="717">
        <f>(Z33+X33+V33+T33+R33)/5</f>
        <v>12.6</v>
      </c>
      <c r="AB33" s="669">
        <v>10</v>
      </c>
      <c r="AC33" s="717">
        <f>(AB33+Z33+X33+V33+T33)/5</f>
        <v>11.8</v>
      </c>
      <c r="AD33" s="669">
        <v>11</v>
      </c>
      <c r="AE33" s="717">
        <f>(AD33+AB33+Z33+X33+V33)/5</f>
        <v>12.2</v>
      </c>
    </row>
    <row r="34" spans="1:31" ht="18" customHeight="1" x14ac:dyDescent="0.3">
      <c r="A34" s="863" t="s">
        <v>1463</v>
      </c>
      <c r="B34" s="669">
        <v>0</v>
      </c>
      <c r="C34" s="669">
        <v>0</v>
      </c>
      <c r="D34" s="669">
        <v>0</v>
      </c>
      <c r="E34" s="669">
        <v>0</v>
      </c>
      <c r="F34" s="669">
        <v>0</v>
      </c>
      <c r="G34" s="716">
        <f>AVERAGE(B34:F34)</f>
        <v>0</v>
      </c>
      <c r="H34" s="669">
        <v>0</v>
      </c>
      <c r="I34" s="716">
        <f>(+H34+F34+E34+D34+C34)/5</f>
        <v>0</v>
      </c>
      <c r="J34" s="669">
        <v>0</v>
      </c>
      <c r="K34" s="716">
        <f>(+J34+H34+F34+E34+D34)/5</f>
        <v>0</v>
      </c>
      <c r="L34" s="669">
        <v>0</v>
      </c>
      <c r="M34" s="716">
        <f>(L34+J34+H34+F34+E34)/5</f>
        <v>0</v>
      </c>
      <c r="N34" s="669">
        <v>0</v>
      </c>
      <c r="O34" s="717">
        <f>(+N34+L34+J34+H34+F34)/5</f>
        <v>0</v>
      </c>
      <c r="P34" s="669">
        <v>0</v>
      </c>
      <c r="Q34" s="717">
        <f>(P34+N34+L34+J34+H34)/5</f>
        <v>0</v>
      </c>
      <c r="R34" s="669">
        <v>0</v>
      </c>
      <c r="S34" s="717">
        <f>(R34+P34+N34+L34+J34)/5</f>
        <v>0</v>
      </c>
      <c r="T34" s="669">
        <v>0</v>
      </c>
      <c r="U34" s="717">
        <f>(T34+R34+P34+N34+L34)/5</f>
        <v>0</v>
      </c>
      <c r="V34" s="669">
        <v>3</v>
      </c>
      <c r="W34" s="717">
        <f>(V34+T34+R34+P34+N34)/5</f>
        <v>0.6</v>
      </c>
      <c r="X34" s="669">
        <v>3</v>
      </c>
      <c r="Y34" s="717">
        <f>(X34+V34+T34+R34+P34)/5</f>
        <v>1.2</v>
      </c>
      <c r="Z34" s="669">
        <v>6</v>
      </c>
      <c r="AA34" s="717">
        <f>(Z34+X34+V34+T34+R34)/5</f>
        <v>2.4</v>
      </c>
      <c r="AB34" s="669">
        <v>5</v>
      </c>
      <c r="AC34" s="717">
        <f>(AB34+Z34+X34+V34+T34)/5</f>
        <v>3.4</v>
      </c>
      <c r="AD34" s="669">
        <v>9</v>
      </c>
      <c r="AE34" s="717">
        <f>(AD34+AB34+Z34+X34+V34)/5</f>
        <v>5.2</v>
      </c>
    </row>
    <row r="35" spans="1:31" ht="18" customHeight="1" x14ac:dyDescent="0.3">
      <c r="A35" s="864" t="s">
        <v>961</v>
      </c>
      <c r="B35" s="715">
        <f>SUM(B33:B34)</f>
        <v>20</v>
      </c>
      <c r="C35" s="715">
        <f>SUM(C33:C34)</f>
        <v>17</v>
      </c>
      <c r="D35" s="715">
        <f>SUM(D33:D34)</f>
        <v>18</v>
      </c>
      <c r="E35" s="715">
        <f>SUM(E33:E34)</f>
        <v>19</v>
      </c>
      <c r="F35" s="715">
        <f>SUM(F33:F34)</f>
        <v>10</v>
      </c>
      <c r="G35" s="716">
        <f>AVERAGE(B35:F35)</f>
        <v>16.8</v>
      </c>
      <c r="H35" s="715">
        <f>SUM(H33:H34)</f>
        <v>12</v>
      </c>
      <c r="I35" s="716">
        <f>(+H35+F35+E35+D35+C35)/5</f>
        <v>15.2</v>
      </c>
      <c r="J35" s="715">
        <f>SUM(J33:J34)</f>
        <v>23</v>
      </c>
      <c r="K35" s="716">
        <f>(+J35+H35+F35+E35+D35)/5</f>
        <v>16.399999999999999</v>
      </c>
      <c r="L35" s="715">
        <f>SUM(L33:L34)</f>
        <v>22</v>
      </c>
      <c r="M35" s="716">
        <f>(L35+J35+H35+F35+E35)/5</f>
        <v>17.2</v>
      </c>
      <c r="N35" s="715">
        <f>SUM(N33:N34)</f>
        <v>17</v>
      </c>
      <c r="O35" s="717">
        <f>(+N35+L35+J35+H35+F35)/5</f>
        <v>16.8</v>
      </c>
      <c r="P35" s="715">
        <f>SUM(P33:P34)</f>
        <v>17</v>
      </c>
      <c r="Q35" s="717">
        <f>(P35+N35+L35+J35+H35)/5</f>
        <v>18.2</v>
      </c>
      <c r="R35" s="715">
        <f>SUM(R33:R34)</f>
        <v>14</v>
      </c>
      <c r="S35" s="717">
        <f>(R35+P35+N35+L35+J35)/5</f>
        <v>18.600000000000001</v>
      </c>
      <c r="T35" s="715">
        <f>SUM(T33:T34)</f>
        <v>9</v>
      </c>
      <c r="U35" s="717">
        <f>(T35+R35+P35+N35+L35)/5</f>
        <v>15.8</v>
      </c>
      <c r="V35" s="715">
        <f>SUM(V33:V34)</f>
        <v>13</v>
      </c>
      <c r="W35" s="717">
        <f>(V35+T35+R35+P35+N35)/5</f>
        <v>14</v>
      </c>
      <c r="X35" s="715">
        <f>SUM(X33:X34)</f>
        <v>25</v>
      </c>
      <c r="Y35" s="717">
        <f>(X35+V35+T35+R35+P35)/5</f>
        <v>15.6</v>
      </c>
      <c r="Z35" s="715">
        <f>SUM(Z33:Z34)</f>
        <v>14</v>
      </c>
      <c r="AA35" s="717">
        <f>(Z35+X35+V35+T35+R35)/5</f>
        <v>15</v>
      </c>
      <c r="AB35" s="715">
        <f>SUM(AB33:AB34)</f>
        <v>15</v>
      </c>
      <c r="AC35" s="717">
        <f>(AB35+Z35+X35+V35+T35)/5</f>
        <v>15.2</v>
      </c>
      <c r="AD35" s="715">
        <f>SUM(AD33:AD34)</f>
        <v>20</v>
      </c>
      <c r="AE35" s="717">
        <f>(AD35+AB35+Z35+X35+V35)/5</f>
        <v>17.399999999999999</v>
      </c>
    </row>
    <row r="36" spans="1:31" ht="18" customHeight="1" x14ac:dyDescent="0.3">
      <c r="A36" s="984" t="s">
        <v>409</v>
      </c>
      <c r="B36" s="985"/>
      <c r="C36" s="985"/>
      <c r="D36" s="985"/>
      <c r="E36" s="985"/>
      <c r="F36" s="986"/>
      <c r="G36" s="986"/>
      <c r="H36" s="986"/>
      <c r="I36" s="986"/>
      <c r="J36" s="986"/>
      <c r="K36" s="986"/>
      <c r="L36" s="986"/>
      <c r="M36" s="986"/>
      <c r="N36" s="986"/>
      <c r="O36" s="987"/>
      <c r="P36" s="986"/>
      <c r="Q36" s="987"/>
      <c r="R36" s="986"/>
      <c r="S36" s="987"/>
      <c r="T36" s="986"/>
      <c r="U36" s="987"/>
      <c r="V36" s="986"/>
      <c r="W36" s="987"/>
      <c r="X36" s="986"/>
      <c r="Y36" s="987"/>
      <c r="Z36" s="986"/>
      <c r="AA36" s="987"/>
      <c r="AB36" s="986"/>
      <c r="AC36" s="987"/>
      <c r="AD36" s="986"/>
      <c r="AE36" s="987"/>
    </row>
    <row r="37" spans="1:31" ht="18" customHeight="1" x14ac:dyDescent="0.3">
      <c r="A37" s="863" t="s">
        <v>1079</v>
      </c>
      <c r="B37" s="669">
        <v>13</v>
      </c>
      <c r="C37" s="669">
        <v>14</v>
      </c>
      <c r="D37" s="669">
        <v>8</v>
      </c>
      <c r="E37" s="669">
        <v>14</v>
      </c>
      <c r="F37" s="669">
        <v>8</v>
      </c>
      <c r="G37" s="716">
        <f t="shared" ref="G37:G42" si="26">AVERAGE(B37:F37)</f>
        <v>11.4</v>
      </c>
      <c r="H37" s="669">
        <v>4</v>
      </c>
      <c r="I37" s="716">
        <f t="shared" ref="I37:I42" si="27">(+H37+F37+E37+D37+C37)/5</f>
        <v>9.6</v>
      </c>
      <c r="J37" s="669">
        <v>4</v>
      </c>
      <c r="K37" s="716">
        <f t="shared" ref="K37:K42" si="28">(+J37+H37+F37+E37+D37)/5</f>
        <v>7.6</v>
      </c>
      <c r="L37" s="669">
        <v>7</v>
      </c>
      <c r="M37" s="716">
        <f t="shared" ref="M37:M42" si="29">(L37+J37+H37+F37+E37)/5</f>
        <v>7.4</v>
      </c>
      <c r="N37" s="669">
        <v>6</v>
      </c>
      <c r="O37" s="717">
        <f t="shared" ref="O37:O42" si="30">(+N37+L37+J37+H37+F37)/5</f>
        <v>5.8</v>
      </c>
      <c r="P37" s="669">
        <v>9</v>
      </c>
      <c r="Q37" s="717">
        <f t="shared" ref="Q37:Q42" si="31">(P37+N37+L37+J37+H37)/5</f>
        <v>6</v>
      </c>
      <c r="R37" s="669">
        <v>16</v>
      </c>
      <c r="S37" s="717">
        <f t="shared" ref="S37:S42" si="32">(R37+P37+N37+L37+J37)/5</f>
        <v>8.4</v>
      </c>
      <c r="T37" s="669">
        <v>4</v>
      </c>
      <c r="U37" s="717">
        <f t="shared" ref="U37:U42" si="33">(T37+R37+P37+N37+L37)/5</f>
        <v>8.4</v>
      </c>
      <c r="V37" s="669">
        <v>6</v>
      </c>
      <c r="W37" s="717">
        <f t="shared" ref="W37:W42" si="34">(V37+T37+R37+P37+N37)/5</f>
        <v>8.1999999999999993</v>
      </c>
      <c r="X37" s="669">
        <v>9</v>
      </c>
      <c r="Y37" s="717">
        <f t="shared" ref="Y37:Y42" si="35">(X37+V37+T37+R37+P37)/5</f>
        <v>8.8000000000000007</v>
      </c>
      <c r="Z37" s="669">
        <v>8</v>
      </c>
      <c r="AA37" s="717">
        <f t="shared" ref="AA37:AA42" si="36">(Z37+X37+V37+T37+R37)/5</f>
        <v>8.6</v>
      </c>
      <c r="AB37" s="669">
        <v>7</v>
      </c>
      <c r="AC37" s="717">
        <f t="shared" ref="AC37:AC42" si="37">(AB37+Z37+X37+V37+T37)/5</f>
        <v>6.8</v>
      </c>
      <c r="AD37" s="669">
        <v>8</v>
      </c>
      <c r="AE37" s="717">
        <f t="shared" ref="AE37:AE42" si="38">(AD37+AB37+Z37+X37+V37)/5</f>
        <v>7.6</v>
      </c>
    </row>
    <row r="38" spans="1:31" ht="18" customHeight="1" x14ac:dyDescent="0.3">
      <c r="A38" s="863" t="s">
        <v>717</v>
      </c>
      <c r="B38" s="669">
        <v>0</v>
      </c>
      <c r="C38" s="669">
        <v>0</v>
      </c>
      <c r="D38" s="669">
        <v>0</v>
      </c>
      <c r="E38" s="669">
        <v>0</v>
      </c>
      <c r="F38" s="669">
        <v>1</v>
      </c>
      <c r="G38" s="716">
        <f t="shared" si="26"/>
        <v>0.2</v>
      </c>
      <c r="H38" s="669">
        <v>1</v>
      </c>
      <c r="I38" s="716">
        <f t="shared" si="27"/>
        <v>0.4</v>
      </c>
      <c r="J38" s="669">
        <v>5</v>
      </c>
      <c r="K38" s="716">
        <f t="shared" si="28"/>
        <v>1.4</v>
      </c>
      <c r="L38" s="669">
        <v>2</v>
      </c>
      <c r="M38" s="716">
        <f t="shared" si="29"/>
        <v>1.8</v>
      </c>
      <c r="N38" s="669">
        <v>0</v>
      </c>
      <c r="O38" s="717">
        <f t="shared" si="30"/>
        <v>1.8</v>
      </c>
      <c r="P38" s="669">
        <v>1</v>
      </c>
      <c r="Q38" s="717">
        <f t="shared" si="31"/>
        <v>1.8</v>
      </c>
      <c r="R38" s="669">
        <v>0</v>
      </c>
      <c r="S38" s="717">
        <f t="shared" si="32"/>
        <v>1.6</v>
      </c>
      <c r="T38" s="669">
        <v>0</v>
      </c>
      <c r="U38" s="717">
        <f t="shared" si="33"/>
        <v>0.6</v>
      </c>
      <c r="V38" s="669">
        <v>2</v>
      </c>
      <c r="W38" s="717">
        <f t="shared" si="34"/>
        <v>0.6</v>
      </c>
      <c r="X38" s="669">
        <v>1</v>
      </c>
      <c r="Y38" s="717">
        <f t="shared" si="35"/>
        <v>0.8</v>
      </c>
      <c r="Z38" s="669">
        <v>0</v>
      </c>
      <c r="AA38" s="717">
        <f t="shared" si="36"/>
        <v>0.6</v>
      </c>
      <c r="AB38" s="669">
        <v>0</v>
      </c>
      <c r="AC38" s="717">
        <f t="shared" si="37"/>
        <v>0.6</v>
      </c>
      <c r="AD38" s="669">
        <v>0</v>
      </c>
      <c r="AE38" s="717">
        <f t="shared" si="38"/>
        <v>0.6</v>
      </c>
    </row>
    <row r="39" spans="1:31" ht="18" customHeight="1" x14ac:dyDescent="0.3">
      <c r="A39" s="863" t="s">
        <v>817</v>
      </c>
      <c r="B39" s="669">
        <v>0</v>
      </c>
      <c r="C39" s="669">
        <v>0</v>
      </c>
      <c r="D39" s="669">
        <v>0</v>
      </c>
      <c r="E39" s="669">
        <v>0</v>
      </c>
      <c r="F39" s="669">
        <v>0</v>
      </c>
      <c r="G39" s="716">
        <f t="shared" si="26"/>
        <v>0</v>
      </c>
      <c r="H39" s="669">
        <v>0</v>
      </c>
      <c r="I39" s="716">
        <f t="shared" si="27"/>
        <v>0</v>
      </c>
      <c r="J39" s="669">
        <v>0</v>
      </c>
      <c r="K39" s="716">
        <f t="shared" si="28"/>
        <v>0</v>
      </c>
      <c r="L39" s="669">
        <v>0</v>
      </c>
      <c r="M39" s="716">
        <f t="shared" si="29"/>
        <v>0</v>
      </c>
      <c r="N39" s="669">
        <v>0</v>
      </c>
      <c r="O39" s="717">
        <f t="shared" si="30"/>
        <v>0</v>
      </c>
      <c r="P39" s="669">
        <v>0</v>
      </c>
      <c r="Q39" s="717">
        <f t="shared" si="31"/>
        <v>0</v>
      </c>
      <c r="R39" s="669">
        <v>0</v>
      </c>
      <c r="S39" s="717">
        <f t="shared" si="32"/>
        <v>0</v>
      </c>
      <c r="T39" s="669">
        <v>0</v>
      </c>
      <c r="U39" s="717">
        <f t="shared" si="33"/>
        <v>0</v>
      </c>
      <c r="V39" s="669">
        <v>0</v>
      </c>
      <c r="W39" s="717">
        <f t="shared" si="34"/>
        <v>0</v>
      </c>
      <c r="X39" s="669">
        <v>0</v>
      </c>
      <c r="Y39" s="717">
        <f t="shared" si="35"/>
        <v>0</v>
      </c>
      <c r="Z39" s="669">
        <v>3</v>
      </c>
      <c r="AA39" s="717">
        <f t="shared" si="36"/>
        <v>0.6</v>
      </c>
      <c r="AB39" s="669">
        <v>2</v>
      </c>
      <c r="AC39" s="717">
        <f t="shared" si="37"/>
        <v>1</v>
      </c>
      <c r="AD39" s="669">
        <v>4</v>
      </c>
      <c r="AE39" s="717">
        <f t="shared" si="38"/>
        <v>1.8</v>
      </c>
    </row>
    <row r="40" spans="1:31" ht="18" customHeight="1" x14ac:dyDescent="0.3">
      <c r="A40" s="863" t="s">
        <v>1092</v>
      </c>
      <c r="B40" s="669">
        <v>3</v>
      </c>
      <c r="C40" s="669">
        <v>2</v>
      </c>
      <c r="D40" s="669">
        <v>4</v>
      </c>
      <c r="E40" s="669">
        <v>10</v>
      </c>
      <c r="F40" s="669">
        <v>3</v>
      </c>
      <c r="G40" s="716">
        <f t="shared" si="26"/>
        <v>4.4000000000000004</v>
      </c>
      <c r="H40" s="669">
        <v>3</v>
      </c>
      <c r="I40" s="716">
        <f t="shared" si="27"/>
        <v>4.4000000000000004</v>
      </c>
      <c r="J40" s="669">
        <v>7</v>
      </c>
      <c r="K40" s="716">
        <f t="shared" si="28"/>
        <v>5.4</v>
      </c>
      <c r="L40" s="669">
        <v>0</v>
      </c>
      <c r="M40" s="716">
        <f t="shared" si="29"/>
        <v>4.5999999999999996</v>
      </c>
      <c r="N40" s="669">
        <v>3</v>
      </c>
      <c r="O40" s="717">
        <f t="shared" si="30"/>
        <v>3.2</v>
      </c>
      <c r="P40" s="669">
        <v>0</v>
      </c>
      <c r="Q40" s="717">
        <f t="shared" si="31"/>
        <v>2.6</v>
      </c>
      <c r="R40" s="669">
        <v>0</v>
      </c>
      <c r="S40" s="717">
        <f t="shared" si="32"/>
        <v>2</v>
      </c>
      <c r="T40" s="669">
        <v>0</v>
      </c>
      <c r="U40" s="717">
        <f t="shared" si="33"/>
        <v>0.6</v>
      </c>
      <c r="V40" s="669">
        <v>0</v>
      </c>
      <c r="W40" s="717">
        <f t="shared" si="34"/>
        <v>0.6</v>
      </c>
      <c r="X40" s="669">
        <v>0</v>
      </c>
      <c r="Y40" s="717">
        <f t="shared" si="35"/>
        <v>0</v>
      </c>
      <c r="Z40" s="669">
        <v>0</v>
      </c>
      <c r="AA40" s="717">
        <f t="shared" si="36"/>
        <v>0</v>
      </c>
      <c r="AB40" s="669">
        <v>0</v>
      </c>
      <c r="AC40" s="717">
        <f t="shared" si="37"/>
        <v>0</v>
      </c>
      <c r="AD40" s="669">
        <v>0</v>
      </c>
      <c r="AE40" s="717">
        <f t="shared" si="38"/>
        <v>0</v>
      </c>
    </row>
    <row r="41" spans="1:31" ht="18" customHeight="1" x14ac:dyDescent="0.3">
      <c r="A41" s="863" t="s">
        <v>1080</v>
      </c>
      <c r="B41" s="669">
        <v>1</v>
      </c>
      <c r="C41" s="669">
        <v>1</v>
      </c>
      <c r="D41" s="669">
        <v>1</v>
      </c>
      <c r="E41" s="669">
        <v>2</v>
      </c>
      <c r="F41" s="669">
        <v>0</v>
      </c>
      <c r="G41" s="716">
        <f t="shared" si="26"/>
        <v>1</v>
      </c>
      <c r="H41" s="669">
        <v>1</v>
      </c>
      <c r="I41" s="716">
        <f t="shared" si="27"/>
        <v>1</v>
      </c>
      <c r="J41" s="669">
        <v>4</v>
      </c>
      <c r="K41" s="716">
        <f t="shared" si="28"/>
        <v>1.6</v>
      </c>
      <c r="L41" s="669">
        <v>6</v>
      </c>
      <c r="M41" s="716">
        <f t="shared" si="29"/>
        <v>2.6</v>
      </c>
      <c r="N41" s="669">
        <v>2</v>
      </c>
      <c r="O41" s="717">
        <f t="shared" si="30"/>
        <v>2.6</v>
      </c>
      <c r="P41" s="669">
        <v>5</v>
      </c>
      <c r="Q41" s="717">
        <f t="shared" si="31"/>
        <v>3.6</v>
      </c>
      <c r="R41" s="669">
        <v>1</v>
      </c>
      <c r="S41" s="717">
        <f t="shared" si="32"/>
        <v>3.6</v>
      </c>
      <c r="T41" s="669">
        <v>5</v>
      </c>
      <c r="U41" s="717">
        <f t="shared" si="33"/>
        <v>3.8</v>
      </c>
      <c r="V41" s="669">
        <v>2</v>
      </c>
      <c r="W41" s="717">
        <f t="shared" si="34"/>
        <v>3</v>
      </c>
      <c r="X41" s="669">
        <v>0</v>
      </c>
      <c r="Y41" s="717">
        <f t="shared" si="35"/>
        <v>2.6</v>
      </c>
      <c r="Z41" s="669">
        <v>3</v>
      </c>
      <c r="AA41" s="717">
        <f t="shared" si="36"/>
        <v>2.2000000000000002</v>
      </c>
      <c r="AB41" s="669">
        <v>5</v>
      </c>
      <c r="AC41" s="717">
        <f t="shared" si="37"/>
        <v>3</v>
      </c>
      <c r="AD41" s="669">
        <v>6</v>
      </c>
      <c r="AE41" s="717">
        <f t="shared" si="38"/>
        <v>3.2</v>
      </c>
    </row>
    <row r="42" spans="1:31" ht="18" customHeight="1" x14ac:dyDescent="0.3">
      <c r="A42" s="864" t="s">
        <v>961</v>
      </c>
      <c r="B42" s="715">
        <f>SUM(B37:B41)</f>
        <v>17</v>
      </c>
      <c r="C42" s="715">
        <f>SUM(C37:C41)</f>
        <v>17</v>
      </c>
      <c r="D42" s="715">
        <f>SUM(D37:D41)</f>
        <v>13</v>
      </c>
      <c r="E42" s="715">
        <f>SUM(E37:E41)</f>
        <v>26</v>
      </c>
      <c r="F42" s="715">
        <f>SUM(F37:F41)</f>
        <v>12</v>
      </c>
      <c r="G42" s="716">
        <f t="shared" si="26"/>
        <v>17</v>
      </c>
      <c r="H42" s="715">
        <f>SUM(H37:H41)</f>
        <v>9</v>
      </c>
      <c r="I42" s="716">
        <f t="shared" si="27"/>
        <v>15.4</v>
      </c>
      <c r="J42" s="715">
        <f>SUM(J37:J41)</f>
        <v>20</v>
      </c>
      <c r="K42" s="716">
        <f t="shared" si="28"/>
        <v>16</v>
      </c>
      <c r="L42" s="715">
        <f>SUM(L37:L41)</f>
        <v>15</v>
      </c>
      <c r="M42" s="716">
        <f t="shared" si="29"/>
        <v>16.399999999999999</v>
      </c>
      <c r="N42" s="715">
        <f>SUM(N37:N41)</f>
        <v>11</v>
      </c>
      <c r="O42" s="717">
        <f t="shared" si="30"/>
        <v>13.4</v>
      </c>
      <c r="P42" s="715">
        <f>SUM(P37:P41)</f>
        <v>15</v>
      </c>
      <c r="Q42" s="717">
        <f t="shared" si="31"/>
        <v>14</v>
      </c>
      <c r="R42" s="715">
        <f>SUM(R37:R41)</f>
        <v>17</v>
      </c>
      <c r="S42" s="717">
        <f t="shared" si="32"/>
        <v>15.6</v>
      </c>
      <c r="T42" s="715">
        <f>SUM(T37:T41)</f>
        <v>9</v>
      </c>
      <c r="U42" s="717">
        <f t="shared" si="33"/>
        <v>13.4</v>
      </c>
      <c r="V42" s="715">
        <f>SUM(V37:V41)</f>
        <v>10</v>
      </c>
      <c r="W42" s="717">
        <f t="shared" si="34"/>
        <v>12.4</v>
      </c>
      <c r="X42" s="715">
        <f>SUM(X37:X41)</f>
        <v>10</v>
      </c>
      <c r="Y42" s="717">
        <f t="shared" si="35"/>
        <v>12.2</v>
      </c>
      <c r="Z42" s="715">
        <f>SUM(Z37:Z41)</f>
        <v>14</v>
      </c>
      <c r="AA42" s="717">
        <f t="shared" si="36"/>
        <v>12</v>
      </c>
      <c r="AB42" s="715">
        <f>SUM(AB37:AB41)</f>
        <v>14</v>
      </c>
      <c r="AC42" s="717">
        <f t="shared" si="37"/>
        <v>11.4</v>
      </c>
      <c r="AD42" s="715">
        <f>SUM(AD37:AD41)</f>
        <v>18</v>
      </c>
      <c r="AE42" s="717">
        <f t="shared" si="38"/>
        <v>13.2</v>
      </c>
    </row>
    <row r="43" spans="1:31" ht="18" customHeight="1" x14ac:dyDescent="0.3">
      <c r="A43" s="984" t="s">
        <v>410</v>
      </c>
      <c r="B43" s="985"/>
      <c r="C43" s="985"/>
      <c r="D43" s="985"/>
      <c r="E43" s="985"/>
      <c r="F43" s="986"/>
      <c r="G43" s="986"/>
      <c r="H43" s="986"/>
      <c r="I43" s="986"/>
      <c r="J43" s="986"/>
      <c r="K43" s="986"/>
      <c r="L43" s="986"/>
      <c r="M43" s="986"/>
      <c r="N43" s="986"/>
      <c r="O43" s="987"/>
      <c r="P43" s="986"/>
      <c r="Q43" s="987"/>
      <c r="R43" s="986"/>
      <c r="S43" s="987"/>
      <c r="T43" s="986"/>
      <c r="U43" s="987"/>
      <c r="V43" s="986"/>
      <c r="W43" s="987"/>
      <c r="X43" s="986"/>
      <c r="Y43" s="987"/>
      <c r="Z43" s="986"/>
      <c r="AA43" s="987"/>
      <c r="AB43" s="986"/>
      <c r="AC43" s="987"/>
      <c r="AD43" s="986"/>
      <c r="AE43" s="987"/>
    </row>
    <row r="44" spans="1:31" ht="18" customHeight="1" x14ac:dyDescent="0.3">
      <c r="A44" s="863" t="s">
        <v>1076</v>
      </c>
      <c r="B44" s="669">
        <v>18</v>
      </c>
      <c r="C44" s="669">
        <v>17</v>
      </c>
      <c r="D44" s="669">
        <v>14</v>
      </c>
      <c r="E44" s="669">
        <v>7</v>
      </c>
      <c r="F44" s="669">
        <v>13</v>
      </c>
      <c r="G44" s="716">
        <f>AVERAGE(B44:F44)</f>
        <v>13.8</v>
      </c>
      <c r="H44" s="669">
        <v>12</v>
      </c>
      <c r="I44" s="716">
        <f>(+H44+F44+E44+D44+C44)/5</f>
        <v>12.6</v>
      </c>
      <c r="J44" s="669">
        <v>14</v>
      </c>
      <c r="K44" s="716">
        <f>(+J44+H44+F44+E44+D44)/5</f>
        <v>12</v>
      </c>
      <c r="L44" s="669">
        <v>23</v>
      </c>
      <c r="M44" s="716">
        <f>(L44+J44+H44+F44+E44)/5</f>
        <v>13.8</v>
      </c>
      <c r="N44" s="669">
        <v>16</v>
      </c>
      <c r="O44" s="717">
        <f>(+N44+L44+J44+H44+F44)/5</f>
        <v>15.6</v>
      </c>
      <c r="P44" s="669">
        <v>26</v>
      </c>
      <c r="Q44" s="717">
        <f>(P44+N44+L44+J44+H44)/5</f>
        <v>18.2</v>
      </c>
      <c r="R44" s="669">
        <v>21</v>
      </c>
      <c r="S44" s="717">
        <f>(R44+P44+N44+L44+J44)/5</f>
        <v>20</v>
      </c>
      <c r="T44" s="669">
        <v>11</v>
      </c>
      <c r="U44" s="717">
        <f>(T44+R44+P44+N44+L44)/5</f>
        <v>19.399999999999999</v>
      </c>
      <c r="V44" s="669">
        <v>14</v>
      </c>
      <c r="W44" s="717">
        <f>(V44+T44+R44+P44+N44)/5</f>
        <v>17.600000000000001</v>
      </c>
      <c r="X44" s="669">
        <v>11</v>
      </c>
      <c r="Y44" s="717">
        <f>(X44+V44+T44+R44+P44)/5</f>
        <v>16.600000000000001</v>
      </c>
      <c r="Z44" s="669">
        <v>19</v>
      </c>
      <c r="AA44" s="717">
        <f>(Z44+X44+V44+T44+R44)/5</f>
        <v>15.2</v>
      </c>
      <c r="AB44" s="669">
        <v>11</v>
      </c>
      <c r="AC44" s="717">
        <f>(AB44+Z44+X44+V44+T44)/5</f>
        <v>13.2</v>
      </c>
      <c r="AD44" s="669">
        <v>23</v>
      </c>
      <c r="AE44" s="717">
        <f>(AD44+AB44+Z44+X44+V44)/5</f>
        <v>15.6</v>
      </c>
    </row>
    <row r="45" spans="1:31" ht="18" customHeight="1" x14ac:dyDescent="0.3">
      <c r="A45" s="863" t="s">
        <v>718</v>
      </c>
      <c r="B45" s="669">
        <v>0</v>
      </c>
      <c r="C45" s="669">
        <v>0</v>
      </c>
      <c r="D45" s="669">
        <v>0</v>
      </c>
      <c r="E45" s="669">
        <v>0</v>
      </c>
      <c r="F45" s="669">
        <v>0</v>
      </c>
      <c r="G45" s="716">
        <f>AVERAGE(B45:F45)</f>
        <v>0</v>
      </c>
      <c r="H45" s="669">
        <v>0</v>
      </c>
      <c r="I45" s="716">
        <f>(+H45+F45+E45+D45+C45)/5</f>
        <v>0</v>
      </c>
      <c r="J45" s="669">
        <v>0</v>
      </c>
      <c r="K45" s="716">
        <f>(+J45+H45+F45+E45+D45)/5</f>
        <v>0</v>
      </c>
      <c r="L45" s="669">
        <v>0</v>
      </c>
      <c r="M45" s="716">
        <f>(L45+J45+H45+F45+E45)/5</f>
        <v>0</v>
      </c>
      <c r="N45" s="669">
        <v>1</v>
      </c>
      <c r="O45" s="717">
        <f>(+N45+L45+J45+H45+F45)/5</f>
        <v>0.2</v>
      </c>
      <c r="P45" s="669">
        <v>0</v>
      </c>
      <c r="Q45" s="717">
        <f>(P45+N45+L45+J45+H45)/5</f>
        <v>0.2</v>
      </c>
      <c r="R45" s="669">
        <v>0</v>
      </c>
      <c r="S45" s="717">
        <f>(R45+P45+N45+L45+J45)/5</f>
        <v>0.2</v>
      </c>
      <c r="T45" s="669">
        <v>0</v>
      </c>
      <c r="U45" s="717">
        <f>(T45+R45+P45+N45+L45)/5</f>
        <v>0.2</v>
      </c>
      <c r="V45" s="669">
        <v>1</v>
      </c>
      <c r="W45" s="717">
        <f>(V45+T45+R45+P45+N45)/5</f>
        <v>0.4</v>
      </c>
      <c r="X45" s="669">
        <v>0</v>
      </c>
      <c r="Y45" s="717">
        <f>(X45+V45+T45+R45+P45)/5</f>
        <v>0.2</v>
      </c>
      <c r="Z45" s="669">
        <v>0</v>
      </c>
      <c r="AA45" s="717">
        <f>(Z45+X45+V45+T45+R45)/5</f>
        <v>0.2</v>
      </c>
      <c r="AB45" s="669">
        <v>0</v>
      </c>
      <c r="AC45" s="717">
        <f>(AB45+Z45+X45+V45+T45)/5</f>
        <v>0.2</v>
      </c>
      <c r="AD45" s="669">
        <v>0</v>
      </c>
      <c r="AE45" s="717">
        <f>(AD45+AB45+Z45+X45+V45)/5</f>
        <v>0.2</v>
      </c>
    </row>
    <row r="46" spans="1:31" ht="18" customHeight="1" x14ac:dyDescent="0.3">
      <c r="A46" s="864" t="s">
        <v>961</v>
      </c>
      <c r="B46" s="715">
        <f>+B45+B44</f>
        <v>18</v>
      </c>
      <c r="C46" s="715">
        <f>+C45+C44</f>
        <v>17</v>
      </c>
      <c r="D46" s="715">
        <f>+D45+D44</f>
        <v>14</v>
      </c>
      <c r="E46" s="715">
        <f>+E45+E44</f>
        <v>7</v>
      </c>
      <c r="F46" s="715">
        <f>+F45+F44</f>
        <v>13</v>
      </c>
      <c r="G46" s="716">
        <f>AVERAGE(B46:F46)</f>
        <v>13.8</v>
      </c>
      <c r="H46" s="715">
        <f>+H45+H44</f>
        <v>12</v>
      </c>
      <c r="I46" s="716">
        <f>(+H46+F46+E46+D46+C46)/5</f>
        <v>12.6</v>
      </c>
      <c r="J46" s="715">
        <f>+J45+J44</f>
        <v>14</v>
      </c>
      <c r="K46" s="716">
        <f>(+J46+H46+F46+E46+D46)/5</f>
        <v>12</v>
      </c>
      <c r="L46" s="715">
        <f>+L45+L44</f>
        <v>23</v>
      </c>
      <c r="M46" s="716">
        <f>(L46+J46+H46+F46+E46)/5</f>
        <v>13.8</v>
      </c>
      <c r="N46" s="715">
        <f>+N45+N44</f>
        <v>17</v>
      </c>
      <c r="O46" s="717">
        <f>(+N46+L46+J46+H46+F46)/5</f>
        <v>15.8</v>
      </c>
      <c r="P46" s="715">
        <f>+P45+P44</f>
        <v>26</v>
      </c>
      <c r="Q46" s="717">
        <f>(P46+N46+L46+J46+H46)/5</f>
        <v>18.399999999999999</v>
      </c>
      <c r="R46" s="715">
        <f>+R45+R44</f>
        <v>21</v>
      </c>
      <c r="S46" s="717">
        <f>(R46+P46+N46+L46+J46)/5</f>
        <v>20.2</v>
      </c>
      <c r="T46" s="715">
        <f>+T45+T44</f>
        <v>11</v>
      </c>
      <c r="U46" s="717">
        <f>(T46+R46+P46+N46+L46)/5</f>
        <v>19.600000000000001</v>
      </c>
      <c r="V46" s="715">
        <f>+V45+V44</f>
        <v>15</v>
      </c>
      <c r="W46" s="717">
        <f>(V46+T46+R46+P46+N46)/5</f>
        <v>18</v>
      </c>
      <c r="X46" s="715">
        <f>+X45+X44</f>
        <v>11</v>
      </c>
      <c r="Y46" s="717">
        <f>(X46+V46+T46+R46+P46)/5</f>
        <v>16.8</v>
      </c>
      <c r="Z46" s="715">
        <f>+Z45+Z44</f>
        <v>19</v>
      </c>
      <c r="AA46" s="717">
        <f>(Z46+X46+V46+T46+R46)/5</f>
        <v>15.4</v>
      </c>
      <c r="AB46" s="715">
        <f>+AB45+AB44</f>
        <v>11</v>
      </c>
      <c r="AC46" s="717">
        <f>(AB46+Z46+X46+V46+T46)/5</f>
        <v>13.4</v>
      </c>
      <c r="AD46" s="715">
        <f>+AD45+AD44</f>
        <v>23</v>
      </c>
      <c r="AE46" s="717">
        <f>(AD46+AB46+Z46+X46+V46)/5</f>
        <v>15.8</v>
      </c>
    </row>
    <row r="47" spans="1:31" ht="18" customHeight="1" x14ac:dyDescent="0.3">
      <c r="A47" s="984" t="s">
        <v>411</v>
      </c>
      <c r="B47" s="985"/>
      <c r="C47" s="985"/>
      <c r="D47" s="985"/>
      <c r="E47" s="985"/>
      <c r="F47" s="986"/>
      <c r="G47" s="986"/>
      <c r="H47" s="986"/>
      <c r="I47" s="986"/>
      <c r="J47" s="986"/>
      <c r="K47" s="986"/>
      <c r="L47" s="986"/>
      <c r="M47" s="986"/>
      <c r="N47" s="986"/>
      <c r="O47" s="987"/>
      <c r="P47" s="986"/>
      <c r="Q47" s="987"/>
      <c r="R47" s="986"/>
      <c r="S47" s="987"/>
      <c r="T47" s="986"/>
      <c r="U47" s="987"/>
      <c r="V47" s="986"/>
      <c r="W47" s="987"/>
      <c r="X47" s="986"/>
      <c r="Y47" s="987"/>
      <c r="Z47" s="986"/>
      <c r="AA47" s="987"/>
      <c r="AB47" s="986"/>
      <c r="AC47" s="987"/>
      <c r="AD47" s="986"/>
      <c r="AE47" s="987"/>
    </row>
    <row r="48" spans="1:31" ht="18" customHeight="1" x14ac:dyDescent="0.3">
      <c r="A48" s="863" t="s">
        <v>1070</v>
      </c>
      <c r="B48" s="669">
        <v>5</v>
      </c>
      <c r="C48" s="669">
        <v>12</v>
      </c>
      <c r="D48" s="669">
        <v>13</v>
      </c>
      <c r="E48" s="669">
        <v>19</v>
      </c>
      <c r="F48" s="669">
        <v>14</v>
      </c>
      <c r="G48" s="716">
        <f>AVERAGE(B48:F48)</f>
        <v>12.6</v>
      </c>
      <c r="H48" s="669">
        <v>21</v>
      </c>
      <c r="I48" s="716">
        <f>(+H48+F48+E48+D48+C48)/5</f>
        <v>15.8</v>
      </c>
      <c r="J48" s="669">
        <v>19</v>
      </c>
      <c r="K48" s="716">
        <f>(+J48+H48+F48+E48+D48)/5</f>
        <v>17.2</v>
      </c>
      <c r="L48" s="669">
        <v>25</v>
      </c>
      <c r="M48" s="716">
        <f>(L48+J48+H48+F48+E48)/5</f>
        <v>19.600000000000001</v>
      </c>
      <c r="N48" s="669">
        <v>23</v>
      </c>
      <c r="O48" s="717">
        <f>(+N48+L48+J48+H48+F48)/5</f>
        <v>20.399999999999999</v>
      </c>
      <c r="P48" s="669">
        <v>19</v>
      </c>
      <c r="Q48" s="717">
        <f>(P48+N48+L48+J48+H48)/5</f>
        <v>21.4</v>
      </c>
      <c r="R48" s="669">
        <v>16</v>
      </c>
      <c r="S48" s="717">
        <f>(R48+P48+N48+L48+J48)/5</f>
        <v>20.399999999999999</v>
      </c>
      <c r="T48" s="669">
        <v>23</v>
      </c>
      <c r="U48" s="717">
        <f>(T48+R48+P48+N48+L48)/5</f>
        <v>21.2</v>
      </c>
      <c r="V48" s="669">
        <v>31</v>
      </c>
      <c r="W48" s="717">
        <f>(V48+T48+R48+P48+N48)/5</f>
        <v>22.4</v>
      </c>
      <c r="X48" s="669">
        <v>27</v>
      </c>
      <c r="Y48" s="717">
        <f>(X48+V48+T48+R48+P48)/5</f>
        <v>23.2</v>
      </c>
      <c r="Z48" s="669">
        <v>23</v>
      </c>
      <c r="AA48" s="717">
        <f>(Z48+X48+V48+T48+R48)/5</f>
        <v>24</v>
      </c>
      <c r="AB48" s="669">
        <v>23</v>
      </c>
      <c r="AC48" s="717">
        <f>(AB48+Z48+X48+V48+T48)/5</f>
        <v>25.4</v>
      </c>
      <c r="AD48" s="669">
        <v>32</v>
      </c>
      <c r="AE48" s="717">
        <f>(AD48+AB48+Z48+X48+V48)/5</f>
        <v>27.2</v>
      </c>
    </row>
    <row r="49" spans="1:31" ht="18" customHeight="1" x14ac:dyDescent="0.3">
      <c r="A49" s="863" t="s">
        <v>1071</v>
      </c>
      <c r="B49" s="669">
        <v>0</v>
      </c>
      <c r="C49" s="669">
        <v>0</v>
      </c>
      <c r="D49" s="669">
        <v>0</v>
      </c>
      <c r="E49" s="669">
        <v>0</v>
      </c>
      <c r="F49" s="669">
        <v>2</v>
      </c>
      <c r="G49" s="716">
        <f>AVERAGE(B49:F49)</f>
        <v>0.4</v>
      </c>
      <c r="H49" s="669">
        <v>2</v>
      </c>
      <c r="I49" s="716">
        <f>(+H49+F49+E49+D49+C49)/5</f>
        <v>0.8</v>
      </c>
      <c r="J49" s="669">
        <v>3</v>
      </c>
      <c r="K49" s="716">
        <f>(+J49+H49+F49+E49+D49)/5</f>
        <v>1.4</v>
      </c>
      <c r="L49" s="669">
        <v>2</v>
      </c>
      <c r="M49" s="716">
        <f>(L49+J49+H49+F49+E49)/5</f>
        <v>1.8</v>
      </c>
      <c r="N49" s="669">
        <v>8</v>
      </c>
      <c r="O49" s="717">
        <f>(+N49+L49+J49+H49+F49)/5</f>
        <v>3.4</v>
      </c>
      <c r="P49" s="669">
        <v>4</v>
      </c>
      <c r="Q49" s="717">
        <f>(P49+N49+L49+J49+H49)/5</f>
        <v>3.8</v>
      </c>
      <c r="R49" s="669">
        <v>1</v>
      </c>
      <c r="S49" s="717">
        <f>(R49+P49+N49+L49+J49)/5</f>
        <v>3.6</v>
      </c>
      <c r="T49" s="669">
        <v>2</v>
      </c>
      <c r="U49" s="717">
        <f>(T49+R49+P49+N49+L49)/5</f>
        <v>3.4</v>
      </c>
      <c r="V49" s="669">
        <v>2</v>
      </c>
      <c r="W49" s="717">
        <f>(V49+T49+R49+P49+N49)/5</f>
        <v>3.4</v>
      </c>
      <c r="X49" s="669">
        <v>4</v>
      </c>
      <c r="Y49" s="717">
        <f>(X49+V49+T49+R49+P49)/5</f>
        <v>2.6</v>
      </c>
      <c r="Z49" s="669">
        <v>3</v>
      </c>
      <c r="AA49" s="717">
        <f>(Z49+X49+V49+T49+R49)/5</f>
        <v>2.4</v>
      </c>
      <c r="AB49" s="669">
        <v>6</v>
      </c>
      <c r="AC49" s="717">
        <f>(AB49+Z49+X49+V49+T49)/5</f>
        <v>3.4</v>
      </c>
      <c r="AD49" s="669">
        <v>3</v>
      </c>
      <c r="AE49" s="717">
        <f>(AD49+AB49+Z49+X49+V49)/5</f>
        <v>3.6</v>
      </c>
    </row>
    <row r="50" spans="1:31" ht="18" customHeight="1" x14ac:dyDescent="0.3">
      <c r="A50" s="863" t="s">
        <v>1074</v>
      </c>
      <c r="B50" s="669">
        <v>2</v>
      </c>
      <c r="C50" s="669">
        <v>0</v>
      </c>
      <c r="D50" s="669">
        <v>0</v>
      </c>
      <c r="E50" s="669">
        <v>1</v>
      </c>
      <c r="F50" s="669">
        <v>0</v>
      </c>
      <c r="G50" s="716">
        <f>AVERAGE(B50:F50)</f>
        <v>0.6</v>
      </c>
      <c r="H50" s="669">
        <v>0</v>
      </c>
      <c r="I50" s="716">
        <f>(+H50+F50+E50+D50+C50)/5</f>
        <v>0.2</v>
      </c>
      <c r="J50" s="669">
        <v>0</v>
      </c>
      <c r="K50" s="716">
        <f>(+J50+H50+F50+E50+D50)/5</f>
        <v>0.2</v>
      </c>
      <c r="L50" s="669">
        <v>0</v>
      </c>
      <c r="M50" s="716">
        <f>(L50+J50+H50+F50+E50)/5</f>
        <v>0.2</v>
      </c>
      <c r="N50" s="669">
        <v>0</v>
      </c>
      <c r="O50" s="717">
        <f>(+N50+L50+J50+H50+F50)/5</f>
        <v>0</v>
      </c>
      <c r="P50" s="669">
        <v>0</v>
      </c>
      <c r="Q50" s="717">
        <f>(P50+N50+L50+J50+H50)/5</f>
        <v>0</v>
      </c>
      <c r="R50" s="669">
        <v>0</v>
      </c>
      <c r="S50" s="717">
        <f>(R50+P50+N50+L50+J50)/5</f>
        <v>0</v>
      </c>
      <c r="T50" s="669">
        <v>0</v>
      </c>
      <c r="U50" s="717">
        <f>(T50+R50+P50+N50+L50)/5</f>
        <v>0</v>
      </c>
      <c r="V50" s="669">
        <v>0</v>
      </c>
      <c r="W50" s="717">
        <f>(V50+T50+R50+P50+N50)/5</f>
        <v>0</v>
      </c>
      <c r="X50" s="669">
        <v>0</v>
      </c>
      <c r="Y50" s="717">
        <f>(X50+V50+T50+R50+P50)/5</f>
        <v>0</v>
      </c>
      <c r="Z50" s="669">
        <v>0</v>
      </c>
      <c r="AA50" s="717">
        <f>(Z50+X50+V50+T50+R50)/5</f>
        <v>0</v>
      </c>
      <c r="AB50" s="669">
        <v>0</v>
      </c>
      <c r="AC50" s="717">
        <f>(AB50+Z50+X50+V50+T50)/5</f>
        <v>0</v>
      </c>
      <c r="AD50" s="669">
        <v>0</v>
      </c>
      <c r="AE50" s="717">
        <f>(AD50+AB50+Z50+X50+V50)/5</f>
        <v>0</v>
      </c>
    </row>
    <row r="51" spans="1:31" ht="18" customHeight="1" x14ac:dyDescent="0.3">
      <c r="A51" s="864" t="s">
        <v>961</v>
      </c>
      <c r="B51" s="715">
        <f>SUM(B48:B50)</f>
        <v>7</v>
      </c>
      <c r="C51" s="715">
        <f>SUM(C48:C50)</f>
        <v>12</v>
      </c>
      <c r="D51" s="715">
        <f>SUM(D48:D50)</f>
        <v>13</v>
      </c>
      <c r="E51" s="715">
        <f>SUM(E48:E50)</f>
        <v>20</v>
      </c>
      <c r="F51" s="715">
        <f>SUM(F48:F50)</f>
        <v>16</v>
      </c>
      <c r="G51" s="716">
        <f>AVERAGE(B51:F51)</f>
        <v>13.6</v>
      </c>
      <c r="H51" s="715">
        <f>SUM(H48:H50)</f>
        <v>23</v>
      </c>
      <c r="I51" s="716">
        <f>(+H51+F51+E51+D51+C51)/5</f>
        <v>16.8</v>
      </c>
      <c r="J51" s="715">
        <f>SUM(J48:J50)</f>
        <v>22</v>
      </c>
      <c r="K51" s="716">
        <f>(+J51+H51+F51+E51+D51)/5</f>
        <v>18.8</v>
      </c>
      <c r="L51" s="715">
        <f>SUM(L48:L50)</f>
        <v>27</v>
      </c>
      <c r="M51" s="716">
        <f>(L51+J51+H51+F51+E51)/5</f>
        <v>21.6</v>
      </c>
      <c r="N51" s="715">
        <f>SUM(N48:N50)</f>
        <v>31</v>
      </c>
      <c r="O51" s="717">
        <f>(+N51+L51+J51+H51+F51)/5</f>
        <v>23.8</v>
      </c>
      <c r="P51" s="715">
        <f>SUM(P48:P50)</f>
        <v>23</v>
      </c>
      <c r="Q51" s="717">
        <f>(P51+N51+L51+J51+H51)/5</f>
        <v>25.2</v>
      </c>
      <c r="R51" s="715">
        <f>SUM(R48:R50)</f>
        <v>17</v>
      </c>
      <c r="S51" s="717">
        <f>(R51+P51+N51+L51+J51)/5</f>
        <v>24</v>
      </c>
      <c r="T51" s="715">
        <f>SUM(T48:T50)</f>
        <v>25</v>
      </c>
      <c r="U51" s="717">
        <f>(T51+R51+P51+N51+L51)/5</f>
        <v>24.6</v>
      </c>
      <c r="V51" s="715">
        <f>SUM(V48:V50)</f>
        <v>33</v>
      </c>
      <c r="W51" s="717">
        <f>(V51+T51+R51+P51+N51)/5</f>
        <v>25.8</v>
      </c>
      <c r="X51" s="715">
        <f>SUM(X48:X50)</f>
        <v>31</v>
      </c>
      <c r="Y51" s="717">
        <f>(X51+V51+T51+R51+P51)/5</f>
        <v>25.8</v>
      </c>
      <c r="Z51" s="715">
        <f>SUM(Z48:Z50)</f>
        <v>26</v>
      </c>
      <c r="AA51" s="717">
        <f>(Z51+X51+V51+T51+R51)/5</f>
        <v>26.4</v>
      </c>
      <c r="AB51" s="715">
        <f>SUM(AB48:AB50)</f>
        <v>29</v>
      </c>
      <c r="AC51" s="717">
        <f>(AB51+Z51+X51+V51+T51)/5</f>
        <v>28.8</v>
      </c>
      <c r="AD51" s="715">
        <f>SUM(AD48:AD50)</f>
        <v>35</v>
      </c>
      <c r="AE51" s="717">
        <f>(AD51+AB51+Z51+X51+V51)/5</f>
        <v>30.8</v>
      </c>
    </row>
    <row r="52" spans="1:31" ht="18" customHeight="1" x14ac:dyDescent="0.3">
      <c r="A52" s="984" t="s">
        <v>413</v>
      </c>
      <c r="B52" s="985"/>
      <c r="C52" s="985"/>
      <c r="D52" s="985"/>
      <c r="E52" s="985"/>
      <c r="F52" s="986"/>
      <c r="G52" s="986"/>
      <c r="H52" s="986"/>
      <c r="I52" s="986"/>
      <c r="J52" s="986"/>
      <c r="K52" s="986"/>
      <c r="L52" s="986"/>
      <c r="M52" s="986"/>
      <c r="N52" s="986"/>
      <c r="O52" s="987"/>
      <c r="P52" s="986"/>
      <c r="Q52" s="987"/>
      <c r="R52" s="986"/>
      <c r="S52" s="987"/>
      <c r="T52" s="986"/>
      <c r="U52" s="987"/>
      <c r="V52" s="986"/>
      <c r="W52" s="987"/>
      <c r="X52" s="986"/>
      <c r="Y52" s="987"/>
      <c r="Z52" s="986"/>
      <c r="AA52" s="987"/>
      <c r="AB52" s="986"/>
      <c r="AC52" s="987"/>
      <c r="AD52" s="986"/>
      <c r="AE52" s="987"/>
    </row>
    <row r="53" spans="1:31" ht="18" customHeight="1" x14ac:dyDescent="0.3">
      <c r="A53" s="863" t="s">
        <v>1072</v>
      </c>
      <c r="B53" s="669">
        <v>3</v>
      </c>
      <c r="C53" s="669">
        <v>7</v>
      </c>
      <c r="D53" s="669">
        <v>3</v>
      </c>
      <c r="E53" s="669">
        <v>2</v>
      </c>
      <c r="F53" s="669">
        <v>9</v>
      </c>
      <c r="G53" s="716">
        <f>AVERAGE(B53:F53)</f>
        <v>4.8</v>
      </c>
      <c r="H53" s="669">
        <v>3</v>
      </c>
      <c r="I53" s="716">
        <f>(+H53+F53+E53+D53+C53)/5</f>
        <v>4.8</v>
      </c>
      <c r="J53" s="669">
        <v>2</v>
      </c>
      <c r="K53" s="716">
        <f>(+J53+H53+F53+E53+D53)/5</f>
        <v>3.8</v>
      </c>
      <c r="L53" s="669">
        <v>7</v>
      </c>
      <c r="M53" s="716">
        <f>(L53+J53+H53+F53+E53)/5</f>
        <v>4.5999999999999996</v>
      </c>
      <c r="N53" s="669">
        <v>11</v>
      </c>
      <c r="O53" s="717">
        <f>(+N53+L53+J53+H53+F53)/5</f>
        <v>6.4</v>
      </c>
      <c r="P53" s="669">
        <v>5</v>
      </c>
      <c r="Q53" s="717">
        <f>(P53+N53+L53+J53+H53)/5</f>
        <v>5.6</v>
      </c>
      <c r="R53" s="669">
        <v>6</v>
      </c>
      <c r="S53" s="717">
        <f>(R53+P53+N53+L53+J53)/5</f>
        <v>6.2</v>
      </c>
      <c r="T53" s="669">
        <v>3</v>
      </c>
      <c r="U53" s="717">
        <f>(T53+R53+P53+N53+L53)/5</f>
        <v>6.4</v>
      </c>
      <c r="V53" s="669">
        <v>8</v>
      </c>
      <c r="W53" s="717">
        <f>(V53+T53+R53+P53+N53)/5</f>
        <v>6.6</v>
      </c>
      <c r="X53" s="669">
        <v>4</v>
      </c>
      <c r="Y53" s="717">
        <f>(X53+V53+T53+R53+P53)/5</f>
        <v>5.2</v>
      </c>
      <c r="Z53" s="669">
        <v>4</v>
      </c>
      <c r="AA53" s="717">
        <f>(Z53+X53+V53+T53+R53)/5</f>
        <v>5</v>
      </c>
      <c r="AB53" s="669">
        <v>5</v>
      </c>
      <c r="AC53" s="717">
        <f>(AB53+Z53+X53+V53+T53)/5</f>
        <v>4.8</v>
      </c>
      <c r="AD53" s="669">
        <v>3</v>
      </c>
      <c r="AE53" s="717">
        <f>(AD53+AB53+Z53+X53+V53)/5</f>
        <v>4.8</v>
      </c>
    </row>
    <row r="54" spans="1:31" ht="18" customHeight="1" x14ac:dyDescent="0.3">
      <c r="A54" s="863" t="s">
        <v>1073</v>
      </c>
      <c r="B54" s="669">
        <v>1</v>
      </c>
      <c r="C54" s="669">
        <v>4</v>
      </c>
      <c r="D54" s="669">
        <v>5</v>
      </c>
      <c r="E54" s="669">
        <v>4</v>
      </c>
      <c r="F54" s="669">
        <v>1</v>
      </c>
      <c r="G54" s="716">
        <f>AVERAGE(B54:F54)</f>
        <v>3</v>
      </c>
      <c r="H54" s="669">
        <v>4</v>
      </c>
      <c r="I54" s="716">
        <f>(+H54+F54+E54+D54+C54)/5</f>
        <v>3.6</v>
      </c>
      <c r="J54" s="669">
        <v>4</v>
      </c>
      <c r="K54" s="716">
        <f>(+J54+H54+F54+E54+D54)/5</f>
        <v>3.6</v>
      </c>
      <c r="L54" s="669">
        <v>0</v>
      </c>
      <c r="M54" s="716">
        <f>(L54+J54+H54+F54+E54)/5</f>
        <v>2.6</v>
      </c>
      <c r="N54" s="669">
        <v>0</v>
      </c>
      <c r="O54" s="717">
        <f>(+N54+L54+J54+H54+F54)/5</f>
        <v>1.8</v>
      </c>
      <c r="P54" s="669">
        <v>0</v>
      </c>
      <c r="Q54" s="717">
        <f>(P54+N54+L54+J54+H54)/5</f>
        <v>1.6</v>
      </c>
      <c r="R54" s="669">
        <v>0</v>
      </c>
      <c r="S54" s="717">
        <f>(R54+P54+N54+L54+J54)/5</f>
        <v>0.8</v>
      </c>
      <c r="T54" s="669">
        <v>0</v>
      </c>
      <c r="U54" s="717">
        <f>(T54+R54+P54+N54+L54)/5</f>
        <v>0</v>
      </c>
      <c r="V54" s="669">
        <v>0</v>
      </c>
      <c r="W54" s="717">
        <f>(V54+T54+R54+P54+N54)/5</f>
        <v>0</v>
      </c>
      <c r="X54" s="669">
        <v>3</v>
      </c>
      <c r="Y54" s="717">
        <f>(X54+V54+T54+R54+P54)/5</f>
        <v>0.6</v>
      </c>
      <c r="Z54" s="669">
        <v>2</v>
      </c>
      <c r="AA54" s="717">
        <f>(Z54+X54+V54+T54+R54)/5</f>
        <v>1</v>
      </c>
      <c r="AB54" s="669">
        <v>2</v>
      </c>
      <c r="AC54" s="717">
        <f>(AB54+Z54+X54+V54+T54)/5</f>
        <v>1.4</v>
      </c>
      <c r="AD54" s="669">
        <v>2</v>
      </c>
      <c r="AE54" s="717">
        <f>(AD54+AB54+Z54+X54+V54)/5</f>
        <v>1.8</v>
      </c>
    </row>
    <row r="55" spans="1:31" ht="18" customHeight="1" x14ac:dyDescent="0.3">
      <c r="A55" s="864" t="s">
        <v>961</v>
      </c>
      <c r="B55" s="715">
        <f>+B54+B53</f>
        <v>4</v>
      </c>
      <c r="C55" s="715">
        <f>+C54+C53</f>
        <v>11</v>
      </c>
      <c r="D55" s="715">
        <f>+D54+D53</f>
        <v>8</v>
      </c>
      <c r="E55" s="715">
        <f>+E54+E53</f>
        <v>6</v>
      </c>
      <c r="F55" s="715">
        <f>+F54+F53</f>
        <v>10</v>
      </c>
      <c r="G55" s="716">
        <f>AVERAGE(B55:F55)</f>
        <v>7.8</v>
      </c>
      <c r="H55" s="715">
        <f>+H54+H53</f>
        <v>7</v>
      </c>
      <c r="I55" s="716">
        <f>(+H55+F55+E55+D55+C55)/5</f>
        <v>8.4</v>
      </c>
      <c r="J55" s="715">
        <f>+J54+J53</f>
        <v>6</v>
      </c>
      <c r="K55" s="716">
        <f>(+J55+H55+F55+E55+D55)/5</f>
        <v>7.4</v>
      </c>
      <c r="L55" s="715">
        <f>+L54+L53</f>
        <v>7</v>
      </c>
      <c r="M55" s="716">
        <f>(L55+J55+H55+F55+E55)/5</f>
        <v>7.2</v>
      </c>
      <c r="N55" s="715">
        <f>+N54+N53</f>
        <v>11</v>
      </c>
      <c r="O55" s="717">
        <f>(+N55+L55+J55+H55+F55)/5</f>
        <v>8.1999999999999993</v>
      </c>
      <c r="P55" s="715">
        <f>+P54+P53</f>
        <v>5</v>
      </c>
      <c r="Q55" s="717">
        <f>(P55+N55+L55+J55+H55)/5</f>
        <v>7.2</v>
      </c>
      <c r="R55" s="715">
        <f>+R54+R53</f>
        <v>6</v>
      </c>
      <c r="S55" s="717">
        <f>(R55+P55+N55+L55+J55)/5</f>
        <v>7</v>
      </c>
      <c r="T55" s="715">
        <f>+T54+T53</f>
        <v>3</v>
      </c>
      <c r="U55" s="717">
        <f>(T55+R55+P55+N55+L55)/5</f>
        <v>6.4</v>
      </c>
      <c r="V55" s="715">
        <f>+V54+V53</f>
        <v>8</v>
      </c>
      <c r="W55" s="717">
        <f>(V55+T55+R55+P55+N55)/5</f>
        <v>6.6</v>
      </c>
      <c r="X55" s="715">
        <f>+X54+X53</f>
        <v>7</v>
      </c>
      <c r="Y55" s="717">
        <f>(X55+V55+T55+R55+P55)/5</f>
        <v>5.8</v>
      </c>
      <c r="Z55" s="715">
        <f>+Z54+Z53</f>
        <v>6</v>
      </c>
      <c r="AA55" s="717">
        <f>(Z55+X55+V55+T55+R55)/5</f>
        <v>6</v>
      </c>
      <c r="AB55" s="715">
        <f>+AB54+AB53</f>
        <v>7</v>
      </c>
      <c r="AC55" s="717">
        <f>(AB55+Z55+X55+V55+T55)/5</f>
        <v>6.2</v>
      </c>
      <c r="AD55" s="715">
        <f>+AD54+AD53</f>
        <v>5</v>
      </c>
      <c r="AE55" s="717">
        <f>(AD55+AB55+Z55+X55+V55)/5</f>
        <v>6.6</v>
      </c>
    </row>
    <row r="56" spans="1:31" ht="18" customHeight="1" thickBot="1" x14ac:dyDescent="0.35">
      <c r="A56" s="689" t="s">
        <v>414</v>
      </c>
      <c r="B56" s="690">
        <f>+B55+B51+B46+B42+B35</f>
        <v>66</v>
      </c>
      <c r="C56" s="690">
        <f>+C55+C51+C46+C42+C35</f>
        <v>74</v>
      </c>
      <c r="D56" s="690">
        <f>+D55+D51+D46+D42+D35</f>
        <v>66</v>
      </c>
      <c r="E56" s="690">
        <f>+E55+E51+E46+E42+E35</f>
        <v>78</v>
      </c>
      <c r="F56" s="690">
        <f>+F55+F51+F46+F42+F35</f>
        <v>61</v>
      </c>
      <c r="G56" s="720">
        <f>AVERAGE(B56:F56)</f>
        <v>69</v>
      </c>
      <c r="H56" s="690">
        <f>+H55+H51+H46+H42+H35</f>
        <v>63</v>
      </c>
      <c r="I56" s="720">
        <f>(+H56+F56+E56+D56+C56)/5</f>
        <v>68.400000000000006</v>
      </c>
      <c r="J56" s="690">
        <f>+J55+J51+J46+J42+J35</f>
        <v>85</v>
      </c>
      <c r="K56" s="720">
        <f>(+J56+H56+F56+E56+D56)/5</f>
        <v>70.599999999999994</v>
      </c>
      <c r="L56" s="690">
        <f>+L55+L51+L46+L42+L35</f>
        <v>94</v>
      </c>
      <c r="M56" s="721">
        <f>(L56+J56+H56+F56+E56)/5</f>
        <v>76.2</v>
      </c>
      <c r="N56" s="722">
        <f>+N55+N51+N46+N42+N35</f>
        <v>87</v>
      </c>
      <c r="O56" s="723">
        <f>(+N56+L56+J56+H56+F56)/5</f>
        <v>78</v>
      </c>
      <c r="P56" s="722">
        <f>+P55+P51+P46+P42+P35</f>
        <v>86</v>
      </c>
      <c r="Q56" s="723">
        <f>(P56+N56+L56+J56+H56)/5</f>
        <v>83</v>
      </c>
      <c r="R56" s="722">
        <f>+R55+R51+R46+R42+R35</f>
        <v>75</v>
      </c>
      <c r="S56" s="723">
        <f>(R56+P56+N56+L56+J56)/5</f>
        <v>85.4</v>
      </c>
      <c r="T56" s="722">
        <f>+T55+T51+T46+T42+T35</f>
        <v>57</v>
      </c>
      <c r="U56" s="723">
        <f>(T56+R56+P56+N56+L56)/5</f>
        <v>79.8</v>
      </c>
      <c r="V56" s="722">
        <f>+V55+V51+V46+V42+V35</f>
        <v>79</v>
      </c>
      <c r="W56" s="723">
        <f>(V56+T56+R56+P56+N56)/5</f>
        <v>76.8</v>
      </c>
      <c r="X56" s="722">
        <f>+X55+X51+X46+X42+X35</f>
        <v>84</v>
      </c>
      <c r="Y56" s="723">
        <f>(X56+V56+T56+R56+P56)/5</f>
        <v>76.2</v>
      </c>
      <c r="Z56" s="722">
        <f>+Z55+Z51+Z46+Z42+Z35</f>
        <v>79</v>
      </c>
      <c r="AA56" s="723">
        <f>(Z56+X56+V56+T56+R56)/5</f>
        <v>74.8</v>
      </c>
      <c r="AB56" s="722">
        <f>+AB55+AB51+AB46+AB42+AB35</f>
        <v>76</v>
      </c>
      <c r="AC56" s="723">
        <f>(AB56+Z56+X56+V56+T56)/5</f>
        <v>75</v>
      </c>
      <c r="AD56" s="722">
        <f>+AD55+AD51+AD46+AD42+AD35</f>
        <v>101</v>
      </c>
      <c r="AE56" s="723">
        <f>(AD56+AB56+Z56+X56+V56)/5</f>
        <v>83.8</v>
      </c>
    </row>
    <row r="57" spans="1:31" ht="20.25" customHeight="1" thickBot="1" x14ac:dyDescent="0.35">
      <c r="A57" s="1779" t="s">
        <v>415</v>
      </c>
      <c r="B57" s="1780"/>
      <c r="C57" s="1780"/>
      <c r="D57" s="1780"/>
      <c r="E57" s="1780"/>
      <c r="F57" s="1780"/>
      <c r="G57" s="1780"/>
      <c r="H57" s="1780"/>
      <c r="I57" s="1780"/>
      <c r="J57" s="1780"/>
      <c r="K57" s="1780"/>
      <c r="L57" s="1780"/>
      <c r="M57" s="1780"/>
      <c r="N57" s="1780"/>
      <c r="O57" s="1780"/>
      <c r="P57" s="1780"/>
      <c r="Q57" s="1780"/>
      <c r="R57" s="1780"/>
      <c r="S57" s="1780"/>
      <c r="T57" s="1780"/>
      <c r="U57" s="1780"/>
      <c r="V57" s="1780"/>
      <c r="W57" s="1780"/>
      <c r="X57" s="1780"/>
      <c r="Y57" s="1780"/>
      <c r="Z57" s="1780"/>
      <c r="AA57" s="1780"/>
      <c r="AB57" s="1780"/>
      <c r="AC57" s="1780"/>
      <c r="AD57" s="1780"/>
      <c r="AE57" s="1781"/>
    </row>
    <row r="58" spans="1:31" ht="20.25" customHeight="1" x14ac:dyDescent="0.3">
      <c r="A58" s="675" t="s">
        <v>401</v>
      </c>
      <c r="B58" s="673" t="s">
        <v>391</v>
      </c>
      <c r="C58" s="673" t="s">
        <v>1297</v>
      </c>
      <c r="D58" s="673" t="s">
        <v>1298</v>
      </c>
      <c r="E58" s="673" t="s">
        <v>1299</v>
      </c>
      <c r="F58" s="671" t="s">
        <v>738</v>
      </c>
      <c r="G58" s="714" t="s">
        <v>475</v>
      </c>
      <c r="H58" s="671" t="s">
        <v>596</v>
      </c>
      <c r="I58" s="714" t="s">
        <v>475</v>
      </c>
      <c r="J58" s="671" t="s">
        <v>1306</v>
      </c>
      <c r="K58" s="714" t="s">
        <v>475</v>
      </c>
      <c r="L58" s="671" t="s">
        <v>1052</v>
      </c>
      <c r="M58" s="714" t="s">
        <v>475</v>
      </c>
      <c r="N58" s="671" t="s">
        <v>274</v>
      </c>
      <c r="O58" s="714" t="s">
        <v>475</v>
      </c>
      <c r="P58" s="671" t="s">
        <v>1261</v>
      </c>
      <c r="Q58" s="714" t="s">
        <v>475</v>
      </c>
      <c r="R58" s="671" t="s">
        <v>363</v>
      </c>
      <c r="S58" s="714" t="s">
        <v>475</v>
      </c>
      <c r="T58" s="671" t="s">
        <v>583</v>
      </c>
      <c r="U58" s="714" t="s">
        <v>475</v>
      </c>
      <c r="V58" s="676" t="str">
        <f>+V31</f>
        <v>2008-2009</v>
      </c>
      <c r="W58" s="714" t="s">
        <v>475</v>
      </c>
      <c r="X58" s="671" t="s">
        <v>1388</v>
      </c>
      <c r="Y58" s="714" t="s">
        <v>475</v>
      </c>
      <c r="Z58" s="671" t="s">
        <v>1389</v>
      </c>
      <c r="AA58" s="714" t="s">
        <v>475</v>
      </c>
      <c r="AB58" s="671" t="s">
        <v>1377</v>
      </c>
      <c r="AC58" s="714" t="s">
        <v>475</v>
      </c>
      <c r="AD58" s="671" t="s">
        <v>1503</v>
      </c>
      <c r="AE58" s="714" t="s">
        <v>475</v>
      </c>
    </row>
    <row r="59" spans="1:31" ht="18" customHeight="1" x14ac:dyDescent="0.3">
      <c r="A59" s="991" t="s">
        <v>970</v>
      </c>
      <c r="B59" s="992"/>
      <c r="C59" s="992"/>
      <c r="D59" s="992"/>
      <c r="E59" s="992"/>
      <c r="F59" s="993"/>
      <c r="G59" s="993"/>
      <c r="H59" s="993"/>
      <c r="I59" s="993"/>
      <c r="J59" s="993"/>
      <c r="K59" s="993"/>
      <c r="L59" s="993"/>
      <c r="M59" s="994"/>
      <c r="N59" s="993"/>
      <c r="O59" s="990"/>
      <c r="P59" s="993"/>
      <c r="Q59" s="990"/>
      <c r="R59" s="993"/>
      <c r="S59" s="990"/>
      <c r="T59" s="993"/>
      <c r="U59" s="990"/>
      <c r="V59" s="993"/>
      <c r="W59" s="990"/>
      <c r="X59" s="993"/>
      <c r="Y59" s="990"/>
      <c r="Z59" s="993"/>
      <c r="AA59" s="990"/>
      <c r="AB59" s="993"/>
      <c r="AC59" s="990"/>
      <c r="AD59" s="993"/>
      <c r="AE59" s="990"/>
    </row>
    <row r="60" spans="1:31" ht="18" customHeight="1" x14ac:dyDescent="0.3">
      <c r="A60" s="863" t="s">
        <v>1113</v>
      </c>
      <c r="B60" s="669">
        <v>3</v>
      </c>
      <c r="C60" s="669">
        <v>2</v>
      </c>
      <c r="D60" s="669">
        <v>5</v>
      </c>
      <c r="E60" s="669">
        <v>8</v>
      </c>
      <c r="F60" s="669">
        <v>6</v>
      </c>
      <c r="G60" s="716">
        <f t="shared" ref="G60:G70" si="39">AVERAGE(B60:F60)</f>
        <v>4.8</v>
      </c>
      <c r="H60" s="669">
        <v>1</v>
      </c>
      <c r="I60" s="716">
        <f t="shared" ref="I60:I70" si="40">(+H60+F60+E60+D60+C60)/5</f>
        <v>4.4000000000000004</v>
      </c>
      <c r="J60" s="669">
        <v>10</v>
      </c>
      <c r="K60" s="716">
        <f t="shared" ref="K60:K70" si="41">(+J60+H60+F60+E60+D60)/5</f>
        <v>6</v>
      </c>
      <c r="L60" s="669">
        <v>10</v>
      </c>
      <c r="M60" s="716">
        <f t="shared" ref="M60:M70" si="42">(L60+J60+H60+F60+E60)/5</f>
        <v>7</v>
      </c>
      <c r="N60" s="669">
        <v>10</v>
      </c>
      <c r="O60" s="717">
        <f t="shared" ref="O60:O70" si="43">(+N60+L60+J60+H60+F60)/5</f>
        <v>7.4</v>
      </c>
      <c r="P60" s="669">
        <v>7</v>
      </c>
      <c r="Q60" s="717">
        <f t="shared" ref="Q60:Q70" si="44">(P60+N60+L60+J60+H60)/5</f>
        <v>7.6</v>
      </c>
      <c r="R60" s="669">
        <v>4</v>
      </c>
      <c r="S60" s="717">
        <f t="shared" ref="S60:S70" si="45">(R60+P60+N60+L60+J60)/5</f>
        <v>8.1999999999999993</v>
      </c>
      <c r="T60" s="669">
        <v>9</v>
      </c>
      <c r="U60" s="717">
        <f t="shared" ref="U60:U70" si="46">(T60+R60+P60+N60+L60)/5</f>
        <v>8</v>
      </c>
      <c r="V60" s="669">
        <v>6</v>
      </c>
      <c r="W60" s="717">
        <f t="shared" ref="W60:W70" si="47">(V60+T60+R60+P60+N60)/5</f>
        <v>7.2</v>
      </c>
      <c r="X60" s="669">
        <v>17</v>
      </c>
      <c r="Y60" s="717">
        <f t="shared" ref="Y60:Y70" si="48">(X60+V60+T60+R60+P60)/5</f>
        <v>8.6</v>
      </c>
      <c r="Z60" s="669">
        <v>4</v>
      </c>
      <c r="AA60" s="717">
        <f t="shared" ref="AA60:AA70" si="49">(Z60+X60+V60+T60+R60)/5</f>
        <v>8</v>
      </c>
      <c r="AB60" s="669">
        <v>13</v>
      </c>
      <c r="AC60" s="717">
        <f t="shared" ref="AC60:AC70" si="50">(AB60+Z60+X60+V60+T60)/5</f>
        <v>9.8000000000000007</v>
      </c>
      <c r="AD60" s="669">
        <v>4</v>
      </c>
      <c r="AE60" s="717">
        <f t="shared" ref="AE60:AE70" si="51">(AD60+AB60+Z60+X60+V60)/5</f>
        <v>8.8000000000000007</v>
      </c>
    </row>
    <row r="61" spans="1:31" ht="18" customHeight="1" x14ac:dyDescent="0.3">
      <c r="A61" s="863" t="s">
        <v>380</v>
      </c>
      <c r="B61" s="669">
        <v>2</v>
      </c>
      <c r="C61" s="669">
        <v>4</v>
      </c>
      <c r="D61" s="669">
        <v>5</v>
      </c>
      <c r="E61" s="669">
        <v>4</v>
      </c>
      <c r="F61" s="669">
        <v>0</v>
      </c>
      <c r="G61" s="716">
        <f t="shared" si="39"/>
        <v>3</v>
      </c>
      <c r="H61" s="669">
        <v>0</v>
      </c>
      <c r="I61" s="716">
        <f t="shared" si="40"/>
        <v>2.6</v>
      </c>
      <c r="J61" s="669">
        <v>0</v>
      </c>
      <c r="K61" s="716">
        <f t="shared" si="41"/>
        <v>1.8</v>
      </c>
      <c r="L61" s="669">
        <v>0</v>
      </c>
      <c r="M61" s="716">
        <f t="shared" si="42"/>
        <v>0.8</v>
      </c>
      <c r="N61" s="669">
        <v>0</v>
      </c>
      <c r="O61" s="717">
        <f t="shared" si="43"/>
        <v>0</v>
      </c>
      <c r="P61" s="669">
        <v>0</v>
      </c>
      <c r="Q61" s="717">
        <f t="shared" si="44"/>
        <v>0</v>
      </c>
      <c r="R61" s="669">
        <v>0</v>
      </c>
      <c r="S61" s="717">
        <f t="shared" si="45"/>
        <v>0</v>
      </c>
      <c r="T61" s="669">
        <v>0</v>
      </c>
      <c r="U61" s="717">
        <f t="shared" si="46"/>
        <v>0</v>
      </c>
      <c r="V61" s="669">
        <v>0</v>
      </c>
      <c r="W61" s="717">
        <f t="shared" si="47"/>
        <v>0</v>
      </c>
      <c r="X61" s="669">
        <v>0</v>
      </c>
      <c r="Y61" s="717">
        <f t="shared" si="48"/>
        <v>0</v>
      </c>
      <c r="Z61" s="669">
        <v>0</v>
      </c>
      <c r="AA61" s="717">
        <f t="shared" si="49"/>
        <v>0</v>
      </c>
      <c r="AB61" s="669">
        <v>0</v>
      </c>
      <c r="AC61" s="717">
        <f t="shared" si="50"/>
        <v>0</v>
      </c>
      <c r="AD61" s="669">
        <v>0</v>
      </c>
      <c r="AE61" s="717">
        <f t="shared" si="51"/>
        <v>0</v>
      </c>
    </row>
    <row r="62" spans="1:31" ht="18" customHeight="1" x14ac:dyDescent="0.3">
      <c r="A62" s="863" t="s">
        <v>381</v>
      </c>
      <c r="B62" s="669">
        <v>0</v>
      </c>
      <c r="C62" s="669">
        <v>1</v>
      </c>
      <c r="D62" s="669">
        <v>3</v>
      </c>
      <c r="E62" s="669">
        <v>3</v>
      </c>
      <c r="F62" s="669">
        <v>0</v>
      </c>
      <c r="G62" s="716">
        <f t="shared" si="39"/>
        <v>1.4</v>
      </c>
      <c r="H62" s="669">
        <v>0</v>
      </c>
      <c r="I62" s="716">
        <f t="shared" si="40"/>
        <v>1.4</v>
      </c>
      <c r="J62" s="669">
        <v>0</v>
      </c>
      <c r="K62" s="716">
        <f t="shared" si="41"/>
        <v>1.2</v>
      </c>
      <c r="L62" s="669">
        <v>0</v>
      </c>
      <c r="M62" s="716">
        <f t="shared" si="42"/>
        <v>0.6</v>
      </c>
      <c r="N62" s="669">
        <v>0</v>
      </c>
      <c r="O62" s="717">
        <f t="shared" si="43"/>
        <v>0</v>
      </c>
      <c r="P62" s="669">
        <v>0</v>
      </c>
      <c r="Q62" s="717">
        <f t="shared" si="44"/>
        <v>0</v>
      </c>
      <c r="R62" s="669">
        <v>0</v>
      </c>
      <c r="S62" s="717">
        <f t="shared" si="45"/>
        <v>0</v>
      </c>
      <c r="T62" s="669">
        <v>0</v>
      </c>
      <c r="U62" s="717">
        <f t="shared" si="46"/>
        <v>0</v>
      </c>
      <c r="V62" s="669">
        <v>0</v>
      </c>
      <c r="W62" s="717">
        <f t="shared" si="47"/>
        <v>0</v>
      </c>
      <c r="X62" s="669">
        <v>0</v>
      </c>
      <c r="Y62" s="717">
        <f t="shared" si="48"/>
        <v>0</v>
      </c>
      <c r="Z62" s="669">
        <v>0</v>
      </c>
      <c r="AA62" s="717">
        <f t="shared" si="49"/>
        <v>0</v>
      </c>
      <c r="AB62" s="669">
        <v>0</v>
      </c>
      <c r="AC62" s="717">
        <f t="shared" si="50"/>
        <v>0</v>
      </c>
      <c r="AD62" s="669">
        <v>0</v>
      </c>
      <c r="AE62" s="717">
        <f t="shared" si="51"/>
        <v>0</v>
      </c>
    </row>
    <row r="63" spans="1:31" ht="18" customHeight="1" x14ac:dyDescent="0.3">
      <c r="A63" s="863" t="s">
        <v>394</v>
      </c>
      <c r="B63" s="669">
        <v>17</v>
      </c>
      <c r="C63" s="669">
        <v>0</v>
      </c>
      <c r="D63" s="669">
        <v>0</v>
      </c>
      <c r="E63" s="669">
        <v>0</v>
      </c>
      <c r="F63" s="669">
        <v>0</v>
      </c>
      <c r="G63" s="716">
        <f t="shared" si="39"/>
        <v>3.4</v>
      </c>
      <c r="H63" s="669">
        <v>0</v>
      </c>
      <c r="I63" s="716">
        <f t="shared" si="40"/>
        <v>0</v>
      </c>
      <c r="J63" s="669">
        <v>0</v>
      </c>
      <c r="K63" s="716">
        <f t="shared" si="41"/>
        <v>0</v>
      </c>
      <c r="L63" s="669">
        <v>0</v>
      </c>
      <c r="M63" s="716">
        <f t="shared" si="42"/>
        <v>0</v>
      </c>
      <c r="N63" s="669">
        <v>0</v>
      </c>
      <c r="O63" s="717">
        <f t="shared" si="43"/>
        <v>0</v>
      </c>
      <c r="P63" s="669">
        <v>0</v>
      </c>
      <c r="Q63" s="717">
        <f t="shared" si="44"/>
        <v>0</v>
      </c>
      <c r="R63" s="669">
        <v>0</v>
      </c>
      <c r="S63" s="717">
        <f t="shared" si="45"/>
        <v>0</v>
      </c>
      <c r="T63" s="669">
        <v>0</v>
      </c>
      <c r="U63" s="717">
        <f t="shared" si="46"/>
        <v>0</v>
      </c>
      <c r="V63" s="669">
        <v>0</v>
      </c>
      <c r="W63" s="717">
        <f t="shared" si="47"/>
        <v>0</v>
      </c>
      <c r="X63" s="669">
        <v>0</v>
      </c>
      <c r="Y63" s="717">
        <f t="shared" si="48"/>
        <v>0</v>
      </c>
      <c r="Z63" s="669">
        <v>0</v>
      </c>
      <c r="AA63" s="717">
        <f t="shared" si="49"/>
        <v>0</v>
      </c>
      <c r="AB63" s="669">
        <v>0</v>
      </c>
      <c r="AC63" s="717">
        <f t="shared" si="50"/>
        <v>0</v>
      </c>
      <c r="AD63" s="669">
        <v>0</v>
      </c>
      <c r="AE63" s="717">
        <f t="shared" si="51"/>
        <v>0</v>
      </c>
    </row>
    <row r="64" spans="1:31" ht="18" customHeight="1" x14ac:dyDescent="0.3">
      <c r="A64" s="863" t="s">
        <v>1114</v>
      </c>
      <c r="B64" s="669">
        <v>22</v>
      </c>
      <c r="C64" s="669">
        <v>29</v>
      </c>
      <c r="D64" s="669">
        <v>16</v>
      </c>
      <c r="E64" s="669">
        <v>10</v>
      </c>
      <c r="F64" s="669">
        <v>10</v>
      </c>
      <c r="G64" s="716">
        <f t="shared" si="39"/>
        <v>17.399999999999999</v>
      </c>
      <c r="H64" s="669">
        <v>10</v>
      </c>
      <c r="I64" s="716">
        <f t="shared" si="40"/>
        <v>15</v>
      </c>
      <c r="J64" s="669">
        <v>16</v>
      </c>
      <c r="K64" s="716">
        <f t="shared" si="41"/>
        <v>12.4</v>
      </c>
      <c r="L64" s="669">
        <v>17</v>
      </c>
      <c r="M64" s="716">
        <f t="shared" si="42"/>
        <v>12.6</v>
      </c>
      <c r="N64" s="669">
        <v>22</v>
      </c>
      <c r="O64" s="717">
        <f t="shared" si="43"/>
        <v>15</v>
      </c>
      <c r="P64" s="669">
        <v>28</v>
      </c>
      <c r="Q64" s="717">
        <f t="shared" si="44"/>
        <v>18.600000000000001</v>
      </c>
      <c r="R64" s="669">
        <v>25</v>
      </c>
      <c r="S64" s="717">
        <f t="shared" si="45"/>
        <v>21.6</v>
      </c>
      <c r="T64" s="669">
        <v>23</v>
      </c>
      <c r="U64" s="717">
        <f t="shared" si="46"/>
        <v>23</v>
      </c>
      <c r="V64" s="669">
        <v>30</v>
      </c>
      <c r="W64" s="717">
        <f t="shared" si="47"/>
        <v>25.6</v>
      </c>
      <c r="X64" s="669">
        <v>28</v>
      </c>
      <c r="Y64" s="717">
        <f t="shared" si="48"/>
        <v>26.8</v>
      </c>
      <c r="Z64" s="669">
        <v>24</v>
      </c>
      <c r="AA64" s="717">
        <f t="shared" si="49"/>
        <v>26</v>
      </c>
      <c r="AB64" s="669">
        <v>24</v>
      </c>
      <c r="AC64" s="717">
        <f t="shared" si="50"/>
        <v>25.8</v>
      </c>
      <c r="AD64" s="669">
        <v>18</v>
      </c>
      <c r="AE64" s="717">
        <f t="shared" si="51"/>
        <v>24.8</v>
      </c>
    </row>
    <row r="65" spans="1:31" ht="18" customHeight="1" x14ac:dyDescent="0.3">
      <c r="A65" s="863" t="s">
        <v>512</v>
      </c>
      <c r="B65" s="669">
        <v>0</v>
      </c>
      <c r="C65" s="669">
        <v>0</v>
      </c>
      <c r="D65" s="669">
        <v>0</v>
      </c>
      <c r="E65" s="669">
        <v>0</v>
      </c>
      <c r="F65" s="669">
        <v>1</v>
      </c>
      <c r="G65" s="716">
        <f t="shared" si="39"/>
        <v>0.2</v>
      </c>
      <c r="H65" s="669">
        <v>6</v>
      </c>
      <c r="I65" s="716">
        <f t="shared" si="40"/>
        <v>1.4</v>
      </c>
      <c r="J65" s="669">
        <v>1</v>
      </c>
      <c r="K65" s="716">
        <f t="shared" si="41"/>
        <v>1.6</v>
      </c>
      <c r="L65" s="669">
        <v>0</v>
      </c>
      <c r="M65" s="716">
        <f t="shared" si="42"/>
        <v>1.6</v>
      </c>
      <c r="N65" s="669">
        <v>2</v>
      </c>
      <c r="O65" s="717">
        <f t="shared" si="43"/>
        <v>2</v>
      </c>
      <c r="P65" s="669">
        <v>0</v>
      </c>
      <c r="Q65" s="717">
        <f t="shared" si="44"/>
        <v>1.8</v>
      </c>
      <c r="R65" s="669">
        <v>0</v>
      </c>
      <c r="S65" s="717">
        <f t="shared" si="45"/>
        <v>0.6</v>
      </c>
      <c r="T65" s="669">
        <v>0</v>
      </c>
      <c r="U65" s="717">
        <f t="shared" si="46"/>
        <v>0.4</v>
      </c>
      <c r="V65" s="669">
        <v>1</v>
      </c>
      <c r="W65" s="717">
        <f t="shared" si="47"/>
        <v>0.6</v>
      </c>
      <c r="X65" s="669">
        <v>5</v>
      </c>
      <c r="Y65" s="717">
        <f t="shared" si="48"/>
        <v>1.2</v>
      </c>
      <c r="Z65" s="669">
        <v>1</v>
      </c>
      <c r="AA65" s="717">
        <f t="shared" si="49"/>
        <v>1.4</v>
      </c>
      <c r="AB65" s="669">
        <v>0</v>
      </c>
      <c r="AC65" s="717">
        <f t="shared" si="50"/>
        <v>1.4</v>
      </c>
      <c r="AD65" s="669">
        <v>0</v>
      </c>
      <c r="AE65" s="717">
        <f t="shared" si="51"/>
        <v>1.4</v>
      </c>
    </row>
    <row r="66" spans="1:31" ht="18" customHeight="1" x14ac:dyDescent="0.3">
      <c r="A66" s="863" t="s">
        <v>1115</v>
      </c>
      <c r="B66" s="669">
        <v>27</v>
      </c>
      <c r="C66" s="669">
        <v>51</v>
      </c>
      <c r="D66" s="669">
        <v>22</v>
      </c>
      <c r="E66" s="669">
        <v>20</v>
      </c>
      <c r="F66" s="669">
        <v>25</v>
      </c>
      <c r="G66" s="716">
        <f t="shared" si="39"/>
        <v>29</v>
      </c>
      <c r="H66" s="669">
        <v>28</v>
      </c>
      <c r="I66" s="716">
        <f t="shared" si="40"/>
        <v>29.2</v>
      </c>
      <c r="J66" s="669">
        <v>30</v>
      </c>
      <c r="K66" s="716">
        <f t="shared" si="41"/>
        <v>25</v>
      </c>
      <c r="L66" s="669">
        <v>26</v>
      </c>
      <c r="M66" s="716">
        <f t="shared" si="42"/>
        <v>25.8</v>
      </c>
      <c r="N66" s="669">
        <v>36</v>
      </c>
      <c r="O66" s="717">
        <f t="shared" si="43"/>
        <v>29</v>
      </c>
      <c r="P66" s="669">
        <v>44</v>
      </c>
      <c r="Q66" s="717">
        <f t="shared" si="44"/>
        <v>32.799999999999997</v>
      </c>
      <c r="R66" s="669">
        <v>27</v>
      </c>
      <c r="S66" s="717">
        <f t="shared" si="45"/>
        <v>32.6</v>
      </c>
      <c r="T66" s="669">
        <v>18</v>
      </c>
      <c r="U66" s="717">
        <f t="shared" si="46"/>
        <v>30.2</v>
      </c>
      <c r="V66" s="669">
        <v>19</v>
      </c>
      <c r="W66" s="717">
        <f t="shared" si="47"/>
        <v>28.8</v>
      </c>
      <c r="X66" s="669">
        <v>21</v>
      </c>
      <c r="Y66" s="717">
        <f t="shared" si="48"/>
        <v>25.8</v>
      </c>
      <c r="Z66" s="669">
        <v>28</v>
      </c>
      <c r="AA66" s="717">
        <f t="shared" si="49"/>
        <v>22.6</v>
      </c>
      <c r="AB66" s="669">
        <v>19</v>
      </c>
      <c r="AC66" s="717">
        <f t="shared" si="50"/>
        <v>21</v>
      </c>
      <c r="AD66" s="669">
        <v>23</v>
      </c>
      <c r="AE66" s="717">
        <f t="shared" si="51"/>
        <v>22</v>
      </c>
    </row>
    <row r="67" spans="1:31" ht="18" customHeight="1" x14ac:dyDescent="0.3">
      <c r="A67" s="863" t="s">
        <v>1116</v>
      </c>
      <c r="B67" s="669">
        <v>8</v>
      </c>
      <c r="C67" s="669">
        <v>8</v>
      </c>
      <c r="D67" s="669">
        <v>37</v>
      </c>
      <c r="E67" s="669">
        <v>16</v>
      </c>
      <c r="F67" s="669">
        <v>11</v>
      </c>
      <c r="G67" s="716">
        <f t="shared" si="39"/>
        <v>16</v>
      </c>
      <c r="H67" s="669">
        <v>24</v>
      </c>
      <c r="I67" s="716">
        <f t="shared" si="40"/>
        <v>19.2</v>
      </c>
      <c r="J67" s="669">
        <v>22</v>
      </c>
      <c r="K67" s="716">
        <f t="shared" si="41"/>
        <v>22</v>
      </c>
      <c r="L67" s="669">
        <v>32</v>
      </c>
      <c r="M67" s="716">
        <f t="shared" si="42"/>
        <v>21</v>
      </c>
      <c r="N67" s="669">
        <v>16</v>
      </c>
      <c r="O67" s="717">
        <f t="shared" si="43"/>
        <v>21</v>
      </c>
      <c r="P67" s="669">
        <v>34</v>
      </c>
      <c r="Q67" s="717">
        <f t="shared" si="44"/>
        <v>25.6</v>
      </c>
      <c r="R67" s="669">
        <v>4</v>
      </c>
      <c r="S67" s="717">
        <f t="shared" si="45"/>
        <v>21.6</v>
      </c>
      <c r="T67" s="669">
        <v>5</v>
      </c>
      <c r="U67" s="717">
        <f t="shared" si="46"/>
        <v>18.2</v>
      </c>
      <c r="V67" s="669">
        <v>3</v>
      </c>
      <c r="W67" s="717">
        <f t="shared" si="47"/>
        <v>12.4</v>
      </c>
      <c r="X67" s="669">
        <v>2</v>
      </c>
      <c r="Y67" s="717">
        <f t="shared" si="48"/>
        <v>9.6</v>
      </c>
      <c r="Z67" s="669">
        <v>1</v>
      </c>
      <c r="AA67" s="717">
        <f t="shared" si="49"/>
        <v>3</v>
      </c>
      <c r="AB67" s="669">
        <v>0</v>
      </c>
      <c r="AC67" s="717">
        <f t="shared" si="50"/>
        <v>2.2000000000000002</v>
      </c>
      <c r="AD67" s="669">
        <v>0</v>
      </c>
      <c r="AE67" s="717">
        <f t="shared" si="51"/>
        <v>1.2</v>
      </c>
    </row>
    <row r="68" spans="1:31" ht="18" customHeight="1" x14ac:dyDescent="0.3">
      <c r="A68" s="678" t="s">
        <v>818</v>
      </c>
      <c r="B68" s="669">
        <v>0</v>
      </c>
      <c r="C68" s="669">
        <v>0</v>
      </c>
      <c r="D68" s="669">
        <v>0</v>
      </c>
      <c r="E68" s="669">
        <v>0</v>
      </c>
      <c r="F68" s="669">
        <v>0</v>
      </c>
      <c r="G68" s="716">
        <f t="shared" si="39"/>
        <v>0</v>
      </c>
      <c r="H68" s="669">
        <v>0</v>
      </c>
      <c r="I68" s="716">
        <f t="shared" si="40"/>
        <v>0</v>
      </c>
      <c r="J68" s="669">
        <v>0</v>
      </c>
      <c r="K68" s="716">
        <f t="shared" si="41"/>
        <v>0</v>
      </c>
      <c r="L68" s="669">
        <v>0</v>
      </c>
      <c r="M68" s="716">
        <f t="shared" si="42"/>
        <v>0</v>
      </c>
      <c r="N68" s="669">
        <v>0</v>
      </c>
      <c r="O68" s="717">
        <f t="shared" si="43"/>
        <v>0</v>
      </c>
      <c r="P68" s="669">
        <v>0</v>
      </c>
      <c r="Q68" s="717">
        <f t="shared" si="44"/>
        <v>0</v>
      </c>
      <c r="R68" s="669">
        <v>0</v>
      </c>
      <c r="S68" s="717">
        <f t="shared" si="45"/>
        <v>0</v>
      </c>
      <c r="T68" s="669">
        <v>0</v>
      </c>
      <c r="U68" s="717">
        <f t="shared" si="46"/>
        <v>0</v>
      </c>
      <c r="V68" s="669">
        <v>10</v>
      </c>
      <c r="W68" s="717">
        <f t="shared" si="47"/>
        <v>2</v>
      </c>
      <c r="X68" s="669">
        <v>12</v>
      </c>
      <c r="Y68" s="717">
        <f t="shared" si="48"/>
        <v>4.4000000000000004</v>
      </c>
      <c r="Z68" s="669">
        <v>6</v>
      </c>
      <c r="AA68" s="717">
        <f t="shared" si="49"/>
        <v>5.6</v>
      </c>
      <c r="AB68" s="669">
        <v>5</v>
      </c>
      <c r="AC68" s="717">
        <f t="shared" si="50"/>
        <v>6.6</v>
      </c>
      <c r="AD68" s="669">
        <v>9</v>
      </c>
      <c r="AE68" s="717">
        <f t="shared" si="51"/>
        <v>8.4</v>
      </c>
    </row>
    <row r="69" spans="1:31" ht="18" customHeight="1" x14ac:dyDescent="0.3">
      <c r="A69" s="863" t="s">
        <v>1117</v>
      </c>
      <c r="B69" s="669">
        <v>7</v>
      </c>
      <c r="C69" s="669">
        <v>19</v>
      </c>
      <c r="D69" s="669">
        <v>13</v>
      </c>
      <c r="E69" s="669">
        <v>6</v>
      </c>
      <c r="F69" s="669">
        <v>4</v>
      </c>
      <c r="G69" s="716">
        <f t="shared" si="39"/>
        <v>9.8000000000000007</v>
      </c>
      <c r="H69" s="669">
        <v>7</v>
      </c>
      <c r="I69" s="716">
        <f t="shared" si="40"/>
        <v>9.8000000000000007</v>
      </c>
      <c r="J69" s="669">
        <v>1</v>
      </c>
      <c r="K69" s="716">
        <f t="shared" si="41"/>
        <v>6.2</v>
      </c>
      <c r="L69" s="669">
        <v>3</v>
      </c>
      <c r="M69" s="716">
        <f t="shared" si="42"/>
        <v>4.2</v>
      </c>
      <c r="N69" s="669">
        <v>13</v>
      </c>
      <c r="O69" s="717">
        <f t="shared" si="43"/>
        <v>5.6</v>
      </c>
      <c r="P69" s="669">
        <v>9</v>
      </c>
      <c r="Q69" s="717">
        <f t="shared" si="44"/>
        <v>6.6</v>
      </c>
      <c r="R69" s="669">
        <v>8</v>
      </c>
      <c r="S69" s="717">
        <f t="shared" si="45"/>
        <v>6.8</v>
      </c>
      <c r="T69" s="669">
        <v>6</v>
      </c>
      <c r="U69" s="717">
        <f t="shared" si="46"/>
        <v>7.8</v>
      </c>
      <c r="V69" s="669">
        <v>14</v>
      </c>
      <c r="W69" s="717">
        <f t="shared" si="47"/>
        <v>10</v>
      </c>
      <c r="X69" s="669">
        <v>9</v>
      </c>
      <c r="Y69" s="717">
        <f t="shared" si="48"/>
        <v>9.1999999999999993</v>
      </c>
      <c r="Z69" s="669">
        <v>8</v>
      </c>
      <c r="AA69" s="717">
        <f t="shared" si="49"/>
        <v>9</v>
      </c>
      <c r="AB69" s="669">
        <v>11</v>
      </c>
      <c r="AC69" s="717">
        <f t="shared" si="50"/>
        <v>9.6</v>
      </c>
      <c r="AD69" s="669">
        <v>16</v>
      </c>
      <c r="AE69" s="717">
        <f t="shared" si="51"/>
        <v>11.6</v>
      </c>
    </row>
    <row r="70" spans="1:31" ht="18" customHeight="1" x14ac:dyDescent="0.3">
      <c r="A70" s="864" t="s">
        <v>961</v>
      </c>
      <c r="B70" s="715">
        <f>SUM(B60:B69)</f>
        <v>86</v>
      </c>
      <c r="C70" s="715">
        <f>SUM(C60:C69)</f>
        <v>114</v>
      </c>
      <c r="D70" s="715">
        <f>SUM(D60:D69)</f>
        <v>101</v>
      </c>
      <c r="E70" s="715">
        <f>SUM(E60:E69)</f>
        <v>67</v>
      </c>
      <c r="F70" s="715">
        <f>SUM(F60:F69)</f>
        <v>57</v>
      </c>
      <c r="G70" s="716">
        <f t="shared" si="39"/>
        <v>85</v>
      </c>
      <c r="H70" s="715">
        <f>SUM(H60:H69)</f>
        <v>76</v>
      </c>
      <c r="I70" s="716">
        <f t="shared" si="40"/>
        <v>83</v>
      </c>
      <c r="J70" s="715">
        <f>SUM(J60:J69)</f>
        <v>80</v>
      </c>
      <c r="K70" s="716">
        <f t="shared" si="41"/>
        <v>76.2</v>
      </c>
      <c r="L70" s="715">
        <f>SUM(L60:L69)</f>
        <v>88</v>
      </c>
      <c r="M70" s="716">
        <f t="shared" si="42"/>
        <v>73.599999999999994</v>
      </c>
      <c r="N70" s="715">
        <f>SUM(N60:N69)</f>
        <v>99</v>
      </c>
      <c r="O70" s="717">
        <f t="shared" si="43"/>
        <v>80</v>
      </c>
      <c r="P70" s="715">
        <f>SUM(P60:P69)</f>
        <v>122</v>
      </c>
      <c r="Q70" s="717">
        <f t="shared" si="44"/>
        <v>93</v>
      </c>
      <c r="R70" s="715">
        <f>SUM(R60:R69)</f>
        <v>68</v>
      </c>
      <c r="S70" s="717">
        <f t="shared" si="45"/>
        <v>91.4</v>
      </c>
      <c r="T70" s="715">
        <f>SUM(T60:T69)</f>
        <v>61</v>
      </c>
      <c r="U70" s="717">
        <f t="shared" si="46"/>
        <v>87.6</v>
      </c>
      <c r="V70" s="715">
        <f>SUM(V60:V69)</f>
        <v>83</v>
      </c>
      <c r="W70" s="717">
        <f t="shared" si="47"/>
        <v>86.6</v>
      </c>
      <c r="X70" s="715">
        <f>SUM(X60:X69)</f>
        <v>94</v>
      </c>
      <c r="Y70" s="717">
        <f t="shared" si="48"/>
        <v>85.6</v>
      </c>
      <c r="Z70" s="715">
        <f>SUM(Z60:Z69)</f>
        <v>72</v>
      </c>
      <c r="AA70" s="717">
        <f t="shared" si="49"/>
        <v>75.599999999999994</v>
      </c>
      <c r="AB70" s="715">
        <f>SUM(AB60:AB69)</f>
        <v>72</v>
      </c>
      <c r="AC70" s="717">
        <f t="shared" si="50"/>
        <v>76.400000000000006</v>
      </c>
      <c r="AD70" s="715">
        <f>SUM(AD60:AD69)</f>
        <v>70</v>
      </c>
      <c r="AE70" s="717">
        <f t="shared" si="51"/>
        <v>78.2</v>
      </c>
    </row>
    <row r="71" spans="1:31" ht="18" customHeight="1" x14ac:dyDescent="0.3">
      <c r="A71" s="984" t="s">
        <v>416</v>
      </c>
      <c r="B71" s="985"/>
      <c r="C71" s="985"/>
      <c r="D71" s="985"/>
      <c r="E71" s="985"/>
      <c r="F71" s="986"/>
      <c r="G71" s="986"/>
      <c r="H71" s="986"/>
      <c r="I71" s="986"/>
      <c r="J71" s="986"/>
      <c r="K71" s="986"/>
      <c r="L71" s="986"/>
      <c r="M71" s="986"/>
      <c r="N71" s="986"/>
      <c r="O71" s="987"/>
      <c r="P71" s="986"/>
      <c r="Q71" s="987"/>
      <c r="R71" s="986"/>
      <c r="S71" s="987"/>
      <c r="T71" s="986"/>
      <c r="U71" s="987"/>
      <c r="V71" s="986"/>
      <c r="W71" s="987"/>
      <c r="X71" s="986"/>
      <c r="Y71" s="987"/>
      <c r="Z71" s="986"/>
      <c r="AA71" s="987"/>
      <c r="AB71" s="986"/>
      <c r="AC71" s="987"/>
      <c r="AD71" s="986"/>
      <c r="AE71" s="987"/>
    </row>
    <row r="72" spans="1:31" ht="18" customHeight="1" x14ac:dyDescent="0.3">
      <c r="A72" s="863" t="s">
        <v>579</v>
      </c>
      <c r="B72" s="669">
        <v>0</v>
      </c>
      <c r="C72" s="669">
        <v>0</v>
      </c>
      <c r="D72" s="669">
        <v>0</v>
      </c>
      <c r="E72" s="669">
        <v>0</v>
      </c>
      <c r="F72" s="669">
        <v>0</v>
      </c>
      <c r="G72" s="716">
        <f t="shared" ref="G72:G78" si="52">AVERAGE(B72:F72)</f>
        <v>0</v>
      </c>
      <c r="H72" s="669">
        <v>0</v>
      </c>
      <c r="I72" s="716">
        <f t="shared" ref="I72:I78" si="53">(+H72+F72+E72+D72+C72)/5</f>
        <v>0</v>
      </c>
      <c r="J72" s="669">
        <v>1</v>
      </c>
      <c r="K72" s="716">
        <f t="shared" ref="K72:K78" si="54">(+J72+H72+F72+E72+D72)/5</f>
        <v>0.2</v>
      </c>
      <c r="L72" s="669">
        <v>1</v>
      </c>
      <c r="M72" s="716">
        <f t="shared" ref="M72:M78" si="55">(L72+J72+H72+F72+E72)/5</f>
        <v>0.4</v>
      </c>
      <c r="N72" s="669">
        <v>3</v>
      </c>
      <c r="O72" s="717">
        <f t="shared" ref="O72:O78" si="56">(+N72+L72+J72+H72+F72)/5</f>
        <v>1</v>
      </c>
      <c r="P72" s="669">
        <v>0</v>
      </c>
      <c r="Q72" s="717">
        <f t="shared" ref="Q72:Q78" si="57">(P72+N72+L72+J72+H72)/5</f>
        <v>1</v>
      </c>
      <c r="R72" s="669">
        <v>3</v>
      </c>
      <c r="S72" s="717">
        <f t="shared" ref="S72:S78" si="58">(R72+P72+N72+L72+J72)/5</f>
        <v>1.6</v>
      </c>
      <c r="T72" s="669">
        <v>1</v>
      </c>
      <c r="U72" s="717">
        <f t="shared" ref="U72:U78" si="59">(T72+R72+P72+N72+L72)/5</f>
        <v>1.6</v>
      </c>
      <c r="V72" s="669">
        <v>2</v>
      </c>
      <c r="W72" s="717">
        <f t="shared" ref="W72:W78" si="60">(V72+T72+R72+P72+N72)/5</f>
        <v>1.8</v>
      </c>
      <c r="X72" s="669">
        <v>2</v>
      </c>
      <c r="Y72" s="717">
        <f t="shared" ref="Y72:Y78" si="61">(X72+V72+T72+R72+P72)/5</f>
        <v>1.6</v>
      </c>
      <c r="Z72" s="669">
        <v>2</v>
      </c>
      <c r="AA72" s="717">
        <f t="shared" ref="AA72:AA78" si="62">(Z72+X72+V72+T72+R72)/5</f>
        <v>2</v>
      </c>
      <c r="AB72" s="669">
        <v>1</v>
      </c>
      <c r="AC72" s="717">
        <f t="shared" ref="AC72:AC78" si="63">(AB72+Z72+X72+V72+T72)/5</f>
        <v>1.6</v>
      </c>
      <c r="AD72" s="669">
        <v>3</v>
      </c>
      <c r="AE72" s="717">
        <f t="shared" ref="AE72:AE78" si="64">(AD72+AB72+Z72+X72+V72)/5</f>
        <v>2</v>
      </c>
    </row>
    <row r="73" spans="1:31" ht="18" customHeight="1" x14ac:dyDescent="0.3">
      <c r="A73" s="863" t="s">
        <v>1144</v>
      </c>
      <c r="B73" s="669">
        <v>0</v>
      </c>
      <c r="C73" s="669">
        <v>0</v>
      </c>
      <c r="D73" s="669">
        <v>0</v>
      </c>
      <c r="E73" s="669">
        <v>0</v>
      </c>
      <c r="F73" s="669">
        <v>2</v>
      </c>
      <c r="G73" s="716">
        <f t="shared" si="52"/>
        <v>0.4</v>
      </c>
      <c r="H73" s="669">
        <v>2</v>
      </c>
      <c r="I73" s="716">
        <f t="shared" si="53"/>
        <v>0.8</v>
      </c>
      <c r="J73" s="669">
        <v>21</v>
      </c>
      <c r="K73" s="716">
        <f t="shared" si="54"/>
        <v>5</v>
      </c>
      <c r="L73" s="669">
        <v>16</v>
      </c>
      <c r="M73" s="716">
        <f t="shared" si="55"/>
        <v>8.1999999999999993</v>
      </c>
      <c r="N73" s="669">
        <v>19</v>
      </c>
      <c r="O73" s="717">
        <f t="shared" si="56"/>
        <v>12</v>
      </c>
      <c r="P73" s="669">
        <v>24</v>
      </c>
      <c r="Q73" s="717">
        <f t="shared" si="57"/>
        <v>16.399999999999999</v>
      </c>
      <c r="R73" s="669">
        <v>30</v>
      </c>
      <c r="S73" s="717">
        <f t="shared" si="58"/>
        <v>22</v>
      </c>
      <c r="T73" s="669">
        <v>31</v>
      </c>
      <c r="U73" s="717">
        <f t="shared" si="59"/>
        <v>24</v>
      </c>
      <c r="V73" s="669">
        <v>26</v>
      </c>
      <c r="W73" s="717">
        <f t="shared" si="60"/>
        <v>26</v>
      </c>
      <c r="X73" s="669">
        <v>18</v>
      </c>
      <c r="Y73" s="717">
        <f t="shared" si="61"/>
        <v>25.8</v>
      </c>
      <c r="Z73" s="669">
        <v>37</v>
      </c>
      <c r="AA73" s="717">
        <f t="shared" si="62"/>
        <v>28.4</v>
      </c>
      <c r="AB73" s="669">
        <v>41</v>
      </c>
      <c r="AC73" s="717">
        <f t="shared" si="63"/>
        <v>30.6</v>
      </c>
      <c r="AD73" s="669">
        <v>29</v>
      </c>
      <c r="AE73" s="717">
        <f t="shared" si="64"/>
        <v>30.2</v>
      </c>
    </row>
    <row r="74" spans="1:31" ht="18" customHeight="1" x14ac:dyDescent="0.3">
      <c r="A74" s="863" t="s">
        <v>1145</v>
      </c>
      <c r="B74" s="669">
        <v>17</v>
      </c>
      <c r="C74" s="669">
        <v>18</v>
      </c>
      <c r="D74" s="669">
        <v>20</v>
      </c>
      <c r="E74" s="669">
        <v>18</v>
      </c>
      <c r="F74" s="669">
        <v>2</v>
      </c>
      <c r="G74" s="716">
        <f t="shared" si="52"/>
        <v>15</v>
      </c>
      <c r="H74" s="669">
        <v>1</v>
      </c>
      <c r="I74" s="716">
        <f t="shared" si="53"/>
        <v>11.8</v>
      </c>
      <c r="J74" s="669">
        <v>1</v>
      </c>
      <c r="K74" s="716">
        <f t="shared" si="54"/>
        <v>8.4</v>
      </c>
      <c r="L74" s="669">
        <v>0</v>
      </c>
      <c r="M74" s="716">
        <f t="shared" si="55"/>
        <v>4.4000000000000004</v>
      </c>
      <c r="N74" s="669">
        <v>0</v>
      </c>
      <c r="O74" s="717">
        <f t="shared" si="56"/>
        <v>0.8</v>
      </c>
      <c r="P74" s="669">
        <v>0</v>
      </c>
      <c r="Q74" s="717">
        <f t="shared" si="57"/>
        <v>0.4</v>
      </c>
      <c r="R74" s="669">
        <v>0</v>
      </c>
      <c r="S74" s="717">
        <f t="shared" si="58"/>
        <v>0.2</v>
      </c>
      <c r="T74" s="669">
        <v>0</v>
      </c>
      <c r="U74" s="717">
        <f t="shared" si="59"/>
        <v>0</v>
      </c>
      <c r="V74" s="669">
        <v>0</v>
      </c>
      <c r="W74" s="717">
        <f t="shared" si="60"/>
        <v>0</v>
      </c>
      <c r="X74" s="669">
        <v>0</v>
      </c>
      <c r="Y74" s="717">
        <f t="shared" si="61"/>
        <v>0</v>
      </c>
      <c r="Z74" s="669">
        <v>0</v>
      </c>
      <c r="AA74" s="717">
        <f t="shared" si="62"/>
        <v>0</v>
      </c>
      <c r="AB74" s="669">
        <v>0</v>
      </c>
      <c r="AC74" s="717">
        <f t="shared" si="63"/>
        <v>0</v>
      </c>
      <c r="AD74" s="669">
        <v>0</v>
      </c>
      <c r="AE74" s="717">
        <f t="shared" si="64"/>
        <v>0</v>
      </c>
    </row>
    <row r="75" spans="1:31" ht="18" customHeight="1" x14ac:dyDescent="0.3">
      <c r="A75" s="863" t="s">
        <v>1095</v>
      </c>
      <c r="B75" s="669">
        <v>0</v>
      </c>
      <c r="C75" s="669">
        <v>0</v>
      </c>
      <c r="D75" s="669">
        <v>0</v>
      </c>
      <c r="E75" s="669">
        <v>0</v>
      </c>
      <c r="F75" s="669">
        <v>2</v>
      </c>
      <c r="G75" s="716">
        <f t="shared" si="52"/>
        <v>0.4</v>
      </c>
      <c r="H75" s="669">
        <v>1</v>
      </c>
      <c r="I75" s="716">
        <f t="shared" si="53"/>
        <v>0.6</v>
      </c>
      <c r="J75" s="669">
        <v>2</v>
      </c>
      <c r="K75" s="716">
        <f t="shared" si="54"/>
        <v>1</v>
      </c>
      <c r="L75" s="669">
        <v>0</v>
      </c>
      <c r="M75" s="716">
        <f t="shared" si="55"/>
        <v>1</v>
      </c>
      <c r="N75" s="669">
        <v>0</v>
      </c>
      <c r="O75" s="717">
        <f t="shared" si="56"/>
        <v>1</v>
      </c>
      <c r="P75" s="669">
        <v>0</v>
      </c>
      <c r="Q75" s="717">
        <f t="shared" si="57"/>
        <v>0.6</v>
      </c>
      <c r="R75" s="669">
        <v>0</v>
      </c>
      <c r="S75" s="717">
        <f t="shared" si="58"/>
        <v>0.4</v>
      </c>
      <c r="T75" s="669">
        <v>0</v>
      </c>
      <c r="U75" s="717">
        <f t="shared" si="59"/>
        <v>0</v>
      </c>
      <c r="V75" s="669">
        <v>0</v>
      </c>
      <c r="W75" s="717">
        <f t="shared" si="60"/>
        <v>0</v>
      </c>
      <c r="X75" s="669">
        <v>0</v>
      </c>
      <c r="Y75" s="717">
        <f t="shared" si="61"/>
        <v>0</v>
      </c>
      <c r="Z75" s="669">
        <v>0</v>
      </c>
      <c r="AA75" s="717">
        <f t="shared" si="62"/>
        <v>0</v>
      </c>
      <c r="AB75" s="669">
        <v>0</v>
      </c>
      <c r="AC75" s="717">
        <f t="shared" si="63"/>
        <v>0</v>
      </c>
      <c r="AD75" s="669">
        <v>0</v>
      </c>
      <c r="AE75" s="717">
        <f t="shared" si="64"/>
        <v>0</v>
      </c>
    </row>
    <row r="76" spans="1:31" ht="18" customHeight="1" x14ac:dyDescent="0.3">
      <c r="A76" s="863" t="s">
        <v>1096</v>
      </c>
      <c r="B76" s="669">
        <v>0</v>
      </c>
      <c r="C76" s="669">
        <v>0</v>
      </c>
      <c r="D76" s="669">
        <v>0</v>
      </c>
      <c r="E76" s="669">
        <v>0</v>
      </c>
      <c r="F76" s="669">
        <v>18</v>
      </c>
      <c r="G76" s="716">
        <f t="shared" si="52"/>
        <v>3.6</v>
      </c>
      <c r="H76" s="669">
        <v>16</v>
      </c>
      <c r="I76" s="716">
        <f t="shared" si="53"/>
        <v>6.8</v>
      </c>
      <c r="J76" s="669">
        <v>5</v>
      </c>
      <c r="K76" s="716">
        <f t="shared" si="54"/>
        <v>7.8</v>
      </c>
      <c r="L76" s="669">
        <v>0</v>
      </c>
      <c r="M76" s="716">
        <f t="shared" si="55"/>
        <v>7.8</v>
      </c>
      <c r="N76" s="669">
        <v>0</v>
      </c>
      <c r="O76" s="717">
        <f t="shared" si="56"/>
        <v>7.8</v>
      </c>
      <c r="P76" s="669">
        <v>0</v>
      </c>
      <c r="Q76" s="717">
        <f t="shared" si="57"/>
        <v>4.2</v>
      </c>
      <c r="R76" s="669">
        <v>0</v>
      </c>
      <c r="S76" s="717">
        <f t="shared" si="58"/>
        <v>1</v>
      </c>
      <c r="T76" s="669">
        <v>0</v>
      </c>
      <c r="U76" s="717">
        <f t="shared" si="59"/>
        <v>0</v>
      </c>
      <c r="V76" s="669">
        <v>0</v>
      </c>
      <c r="W76" s="717">
        <f t="shared" si="60"/>
        <v>0</v>
      </c>
      <c r="X76" s="669">
        <v>0</v>
      </c>
      <c r="Y76" s="717">
        <f t="shared" si="61"/>
        <v>0</v>
      </c>
      <c r="Z76" s="669">
        <v>0</v>
      </c>
      <c r="AA76" s="717">
        <f t="shared" si="62"/>
        <v>0</v>
      </c>
      <c r="AB76" s="669">
        <v>0</v>
      </c>
      <c r="AC76" s="717">
        <f t="shared" si="63"/>
        <v>0</v>
      </c>
      <c r="AD76" s="669">
        <v>0</v>
      </c>
      <c r="AE76" s="717">
        <f t="shared" si="64"/>
        <v>0</v>
      </c>
    </row>
    <row r="77" spans="1:31" ht="18" customHeight="1" x14ac:dyDescent="0.3">
      <c r="A77" s="863" t="s">
        <v>1098</v>
      </c>
      <c r="B77" s="669">
        <v>8</v>
      </c>
      <c r="C77" s="669">
        <v>9</v>
      </c>
      <c r="D77" s="669">
        <v>14</v>
      </c>
      <c r="E77" s="669">
        <v>11</v>
      </c>
      <c r="F77" s="669">
        <v>13</v>
      </c>
      <c r="G77" s="716">
        <f t="shared" si="52"/>
        <v>11</v>
      </c>
      <c r="H77" s="669">
        <v>9</v>
      </c>
      <c r="I77" s="716">
        <f t="shared" si="53"/>
        <v>11.2</v>
      </c>
      <c r="J77" s="669">
        <v>5</v>
      </c>
      <c r="K77" s="716">
        <f t="shared" si="54"/>
        <v>10.4</v>
      </c>
      <c r="L77" s="669">
        <v>10</v>
      </c>
      <c r="M77" s="716">
        <f t="shared" si="55"/>
        <v>9.6</v>
      </c>
      <c r="N77" s="669">
        <v>6</v>
      </c>
      <c r="O77" s="717">
        <f t="shared" si="56"/>
        <v>8.6</v>
      </c>
      <c r="P77" s="669">
        <v>4</v>
      </c>
      <c r="Q77" s="717">
        <f t="shared" si="57"/>
        <v>6.8</v>
      </c>
      <c r="R77" s="669">
        <v>8</v>
      </c>
      <c r="S77" s="717">
        <f t="shared" si="58"/>
        <v>6.6</v>
      </c>
      <c r="T77" s="669">
        <v>5</v>
      </c>
      <c r="U77" s="717">
        <f t="shared" si="59"/>
        <v>6.6</v>
      </c>
      <c r="V77" s="669">
        <v>4</v>
      </c>
      <c r="W77" s="717">
        <f t="shared" si="60"/>
        <v>5.4</v>
      </c>
      <c r="X77" s="669">
        <v>4</v>
      </c>
      <c r="Y77" s="717">
        <f t="shared" si="61"/>
        <v>5</v>
      </c>
      <c r="Z77" s="669">
        <v>7</v>
      </c>
      <c r="AA77" s="717">
        <f t="shared" si="62"/>
        <v>5.6</v>
      </c>
      <c r="AB77" s="669">
        <v>9</v>
      </c>
      <c r="AC77" s="717">
        <f t="shared" si="63"/>
        <v>5.8</v>
      </c>
      <c r="AD77" s="669">
        <v>4</v>
      </c>
      <c r="AE77" s="717">
        <f t="shared" si="64"/>
        <v>5.6</v>
      </c>
    </row>
    <row r="78" spans="1:31" ht="18" customHeight="1" x14ac:dyDescent="0.3">
      <c r="A78" s="864" t="s">
        <v>961</v>
      </c>
      <c r="B78" s="715">
        <f>SUM(B72:B77)</f>
        <v>25</v>
      </c>
      <c r="C78" s="715">
        <f>SUM(C72:C77)</f>
        <v>27</v>
      </c>
      <c r="D78" s="715">
        <f>SUM(D72:D77)</f>
        <v>34</v>
      </c>
      <c r="E78" s="715">
        <f>SUM(E72:E77)</f>
        <v>29</v>
      </c>
      <c r="F78" s="715">
        <f>SUM(F72:F77)</f>
        <v>37</v>
      </c>
      <c r="G78" s="716">
        <f t="shared" si="52"/>
        <v>30.4</v>
      </c>
      <c r="H78" s="715">
        <f>SUM(H72:H77)</f>
        <v>29</v>
      </c>
      <c r="I78" s="716">
        <f t="shared" si="53"/>
        <v>31.2</v>
      </c>
      <c r="J78" s="715">
        <f>SUM(J72:J77)</f>
        <v>35</v>
      </c>
      <c r="K78" s="716">
        <f t="shared" si="54"/>
        <v>32.799999999999997</v>
      </c>
      <c r="L78" s="715">
        <f>SUM(L72:L77)</f>
        <v>27</v>
      </c>
      <c r="M78" s="716">
        <f t="shared" si="55"/>
        <v>31.4</v>
      </c>
      <c r="N78" s="715">
        <f>SUM(N72:N77)</f>
        <v>28</v>
      </c>
      <c r="O78" s="717">
        <f t="shared" si="56"/>
        <v>31.2</v>
      </c>
      <c r="P78" s="715">
        <f>SUM(P72:P77)</f>
        <v>28</v>
      </c>
      <c r="Q78" s="717">
        <f t="shared" si="57"/>
        <v>29.4</v>
      </c>
      <c r="R78" s="715">
        <f>SUM(R72:R77)</f>
        <v>41</v>
      </c>
      <c r="S78" s="717">
        <f t="shared" si="58"/>
        <v>31.8</v>
      </c>
      <c r="T78" s="715">
        <f>SUM(T72:T77)</f>
        <v>37</v>
      </c>
      <c r="U78" s="717">
        <f t="shared" si="59"/>
        <v>32.200000000000003</v>
      </c>
      <c r="V78" s="715">
        <f>SUM(V72:V77)</f>
        <v>32</v>
      </c>
      <c r="W78" s="717">
        <f t="shared" si="60"/>
        <v>33.200000000000003</v>
      </c>
      <c r="X78" s="715">
        <f>SUM(X72:X77)</f>
        <v>24</v>
      </c>
      <c r="Y78" s="717">
        <f t="shared" si="61"/>
        <v>32.4</v>
      </c>
      <c r="Z78" s="715">
        <f>SUM(Z72:Z77)</f>
        <v>46</v>
      </c>
      <c r="AA78" s="717">
        <f t="shared" si="62"/>
        <v>36</v>
      </c>
      <c r="AB78" s="715">
        <f>SUM(AB72:AB77)</f>
        <v>51</v>
      </c>
      <c r="AC78" s="717">
        <f t="shared" si="63"/>
        <v>38</v>
      </c>
      <c r="AD78" s="715">
        <f>SUM(AD72:AD77)</f>
        <v>36</v>
      </c>
      <c r="AE78" s="717">
        <f t="shared" si="64"/>
        <v>37.799999999999997</v>
      </c>
    </row>
    <row r="79" spans="1:31" ht="18" customHeight="1" x14ac:dyDescent="0.3">
      <c r="A79" s="984" t="s">
        <v>417</v>
      </c>
      <c r="B79" s="985"/>
      <c r="C79" s="985"/>
      <c r="D79" s="985"/>
      <c r="E79" s="985"/>
      <c r="F79" s="986"/>
      <c r="G79" s="986"/>
      <c r="H79" s="986"/>
      <c r="I79" s="986"/>
      <c r="J79" s="986"/>
      <c r="K79" s="986"/>
      <c r="L79" s="986"/>
      <c r="M79" s="986"/>
      <c r="N79" s="986"/>
      <c r="O79" s="987"/>
      <c r="P79" s="986"/>
      <c r="Q79" s="987"/>
      <c r="R79" s="986"/>
      <c r="S79" s="987"/>
      <c r="T79" s="986"/>
      <c r="U79" s="987"/>
      <c r="V79" s="986"/>
      <c r="W79" s="987"/>
      <c r="X79" s="986"/>
      <c r="Y79" s="987"/>
      <c r="Z79" s="986"/>
      <c r="AA79" s="987"/>
      <c r="AB79" s="986"/>
      <c r="AC79" s="987"/>
      <c r="AD79" s="986"/>
      <c r="AE79" s="987"/>
    </row>
    <row r="80" spans="1:31" ht="18" customHeight="1" x14ac:dyDescent="0.3">
      <c r="A80" s="863" t="s">
        <v>1047</v>
      </c>
      <c r="B80" s="669">
        <v>32</v>
      </c>
      <c r="C80" s="669">
        <v>18</v>
      </c>
      <c r="D80" s="669">
        <v>22</v>
      </c>
      <c r="E80" s="669">
        <v>27</v>
      </c>
      <c r="F80" s="669">
        <v>4</v>
      </c>
      <c r="G80" s="716">
        <f t="shared" ref="G80:G85" si="65">AVERAGE(B80:F80)</f>
        <v>20.6</v>
      </c>
      <c r="H80" s="669">
        <v>16</v>
      </c>
      <c r="I80" s="716">
        <f t="shared" ref="I80:I85" si="66">(+H80+F80+E80+D80+C80)/5</f>
        <v>17.399999999999999</v>
      </c>
      <c r="J80" s="669">
        <v>8</v>
      </c>
      <c r="K80" s="716">
        <f t="shared" ref="K80:K85" si="67">(+J80+H80+F80+E80+D80)/5</f>
        <v>15.4</v>
      </c>
      <c r="L80" s="669">
        <v>8</v>
      </c>
      <c r="M80" s="716">
        <f t="shared" ref="M80:M85" si="68">(L80+J80+H80+F80+E80)/5</f>
        <v>12.6</v>
      </c>
      <c r="N80" s="669">
        <v>10</v>
      </c>
      <c r="O80" s="717">
        <f t="shared" ref="O80:O85" si="69">(+N80+L80+J80+H80+F80)/5</f>
        <v>9.1999999999999993</v>
      </c>
      <c r="P80" s="669">
        <v>14</v>
      </c>
      <c r="Q80" s="717">
        <f t="shared" ref="Q80:Q85" si="70">(P80+N80+L80+J80+H80)/5</f>
        <v>11.2</v>
      </c>
      <c r="R80" s="669">
        <v>15</v>
      </c>
      <c r="S80" s="717">
        <f t="shared" ref="S80:S85" si="71">(R80+P80+N80+L80+J80)/5</f>
        <v>11</v>
      </c>
      <c r="T80" s="669">
        <v>19</v>
      </c>
      <c r="U80" s="717">
        <f t="shared" ref="U80:U85" si="72">(T80+R80+P80+N80+L80)/5</f>
        <v>13.2</v>
      </c>
      <c r="V80" s="669">
        <v>5</v>
      </c>
      <c r="W80" s="717">
        <f t="shared" ref="W80:W85" si="73">(V80+T80+R80+P80+N80)/5</f>
        <v>12.6</v>
      </c>
      <c r="X80" s="669">
        <v>10</v>
      </c>
      <c r="Y80" s="717">
        <f t="shared" ref="Y80:Y85" si="74">(X80+V80+T80+R80+P80)/5</f>
        <v>12.6</v>
      </c>
      <c r="Z80" s="669">
        <v>2</v>
      </c>
      <c r="AA80" s="717">
        <f t="shared" ref="AA80:AA85" si="75">(Z80+X80+V80+T80+R80)/5</f>
        <v>10.199999999999999</v>
      </c>
      <c r="AB80" s="669">
        <v>17</v>
      </c>
      <c r="AC80" s="717">
        <f t="shared" ref="AC80:AC85" si="76">(AB80+Z80+X80+V80+T80)/5</f>
        <v>10.6</v>
      </c>
      <c r="AD80" s="669">
        <v>28</v>
      </c>
      <c r="AE80" s="717">
        <f t="shared" ref="AE80:AE85" si="77">(AD80+AB80+Z80+X80+V80)/5</f>
        <v>12.4</v>
      </c>
    </row>
    <row r="81" spans="1:31" ht="18" customHeight="1" x14ac:dyDescent="0.3">
      <c r="A81" s="863" t="s">
        <v>1081</v>
      </c>
      <c r="B81" s="669">
        <v>0</v>
      </c>
      <c r="C81" s="669">
        <v>0</v>
      </c>
      <c r="D81" s="669">
        <v>0</v>
      </c>
      <c r="E81" s="669">
        <v>0</v>
      </c>
      <c r="F81" s="669">
        <v>0</v>
      </c>
      <c r="G81" s="716">
        <f t="shared" si="65"/>
        <v>0</v>
      </c>
      <c r="H81" s="669">
        <v>0</v>
      </c>
      <c r="I81" s="716">
        <f t="shared" si="66"/>
        <v>0</v>
      </c>
      <c r="J81" s="669">
        <v>0</v>
      </c>
      <c r="K81" s="716">
        <f t="shared" si="67"/>
        <v>0</v>
      </c>
      <c r="L81" s="669">
        <v>2</v>
      </c>
      <c r="M81" s="716">
        <f t="shared" si="68"/>
        <v>0.4</v>
      </c>
      <c r="N81" s="669">
        <v>0</v>
      </c>
      <c r="O81" s="717">
        <f t="shared" si="69"/>
        <v>0.4</v>
      </c>
      <c r="P81" s="669">
        <v>2</v>
      </c>
      <c r="Q81" s="717">
        <f t="shared" si="70"/>
        <v>0.8</v>
      </c>
      <c r="R81" s="669">
        <v>2</v>
      </c>
      <c r="S81" s="717">
        <f t="shared" si="71"/>
        <v>1.2</v>
      </c>
      <c r="T81" s="669">
        <v>0</v>
      </c>
      <c r="U81" s="717">
        <f t="shared" si="72"/>
        <v>1.2</v>
      </c>
      <c r="V81" s="669">
        <v>3</v>
      </c>
      <c r="W81" s="717">
        <f t="shared" si="73"/>
        <v>1.4</v>
      </c>
      <c r="X81" s="669">
        <v>2</v>
      </c>
      <c r="Y81" s="717">
        <f t="shared" si="74"/>
        <v>1.8</v>
      </c>
      <c r="Z81" s="669">
        <v>2</v>
      </c>
      <c r="AA81" s="717">
        <f t="shared" si="75"/>
        <v>1.8</v>
      </c>
      <c r="AB81" s="669">
        <v>0</v>
      </c>
      <c r="AC81" s="717">
        <f t="shared" si="76"/>
        <v>1.4</v>
      </c>
      <c r="AD81" s="669">
        <v>0</v>
      </c>
      <c r="AE81" s="717">
        <f t="shared" si="77"/>
        <v>1.4</v>
      </c>
    </row>
    <row r="82" spans="1:31" ht="18" customHeight="1" x14ac:dyDescent="0.3">
      <c r="A82" s="863" t="s">
        <v>1049</v>
      </c>
      <c r="B82" s="669">
        <v>0</v>
      </c>
      <c r="C82" s="669">
        <v>0</v>
      </c>
      <c r="D82" s="669">
        <v>0</v>
      </c>
      <c r="E82" s="669">
        <v>0</v>
      </c>
      <c r="F82" s="669">
        <v>21</v>
      </c>
      <c r="G82" s="716">
        <f t="shared" si="65"/>
        <v>4.2</v>
      </c>
      <c r="H82" s="669">
        <v>18</v>
      </c>
      <c r="I82" s="716">
        <f t="shared" si="66"/>
        <v>7.8</v>
      </c>
      <c r="J82" s="669">
        <v>15</v>
      </c>
      <c r="K82" s="716">
        <f t="shared" si="67"/>
        <v>10.8</v>
      </c>
      <c r="L82" s="669">
        <v>19</v>
      </c>
      <c r="M82" s="716">
        <f t="shared" si="68"/>
        <v>14.6</v>
      </c>
      <c r="N82" s="669">
        <v>14</v>
      </c>
      <c r="O82" s="717">
        <f t="shared" si="69"/>
        <v>17.399999999999999</v>
      </c>
      <c r="P82" s="669">
        <v>6</v>
      </c>
      <c r="Q82" s="717">
        <f t="shared" si="70"/>
        <v>14.4</v>
      </c>
      <c r="R82" s="669">
        <v>16</v>
      </c>
      <c r="S82" s="717">
        <f t="shared" si="71"/>
        <v>14</v>
      </c>
      <c r="T82" s="669">
        <v>12</v>
      </c>
      <c r="U82" s="717">
        <f t="shared" si="72"/>
        <v>13.4</v>
      </c>
      <c r="V82" s="669">
        <v>20</v>
      </c>
      <c r="W82" s="717">
        <f t="shared" si="73"/>
        <v>13.6</v>
      </c>
      <c r="X82" s="669">
        <v>9</v>
      </c>
      <c r="Y82" s="717">
        <f t="shared" si="74"/>
        <v>12.6</v>
      </c>
      <c r="Z82" s="669">
        <v>13</v>
      </c>
      <c r="AA82" s="717">
        <f t="shared" si="75"/>
        <v>14</v>
      </c>
      <c r="AB82" s="669">
        <v>13</v>
      </c>
      <c r="AC82" s="717">
        <f t="shared" si="76"/>
        <v>13.4</v>
      </c>
      <c r="AD82" s="669">
        <v>12</v>
      </c>
      <c r="AE82" s="717">
        <f t="shared" si="77"/>
        <v>13.4</v>
      </c>
    </row>
    <row r="83" spans="1:31" ht="18" customHeight="1" x14ac:dyDescent="0.3">
      <c r="A83" s="863" t="s">
        <v>509</v>
      </c>
      <c r="B83" s="669">
        <v>0</v>
      </c>
      <c r="C83" s="669">
        <v>0</v>
      </c>
      <c r="D83" s="669">
        <v>0</v>
      </c>
      <c r="E83" s="669">
        <v>0</v>
      </c>
      <c r="F83" s="669">
        <v>5</v>
      </c>
      <c r="G83" s="716">
        <f t="shared" si="65"/>
        <v>1</v>
      </c>
      <c r="H83" s="669">
        <v>8</v>
      </c>
      <c r="I83" s="716">
        <f t="shared" si="66"/>
        <v>2.6</v>
      </c>
      <c r="J83" s="669">
        <v>5</v>
      </c>
      <c r="K83" s="716">
        <f t="shared" si="67"/>
        <v>3.6</v>
      </c>
      <c r="L83" s="669">
        <v>7</v>
      </c>
      <c r="M83" s="716">
        <f t="shared" si="68"/>
        <v>5</v>
      </c>
      <c r="N83" s="669">
        <v>8</v>
      </c>
      <c r="O83" s="717">
        <f t="shared" si="69"/>
        <v>6.6</v>
      </c>
      <c r="P83" s="669">
        <v>9</v>
      </c>
      <c r="Q83" s="717">
        <f t="shared" si="70"/>
        <v>7.4</v>
      </c>
      <c r="R83" s="669">
        <v>8</v>
      </c>
      <c r="S83" s="717">
        <f t="shared" si="71"/>
        <v>7.4</v>
      </c>
      <c r="T83" s="669">
        <v>9</v>
      </c>
      <c r="U83" s="717">
        <f t="shared" si="72"/>
        <v>8.1999999999999993</v>
      </c>
      <c r="V83" s="669">
        <v>5</v>
      </c>
      <c r="W83" s="717">
        <f t="shared" si="73"/>
        <v>7.8</v>
      </c>
      <c r="X83" s="669">
        <v>9</v>
      </c>
      <c r="Y83" s="717">
        <f t="shared" si="74"/>
        <v>8</v>
      </c>
      <c r="Z83" s="669">
        <v>0</v>
      </c>
      <c r="AA83" s="717">
        <f t="shared" si="75"/>
        <v>6.2</v>
      </c>
      <c r="AB83" s="669">
        <v>0</v>
      </c>
      <c r="AC83" s="717">
        <f t="shared" si="76"/>
        <v>4.5999999999999996</v>
      </c>
      <c r="AD83" s="669">
        <v>0</v>
      </c>
      <c r="AE83" s="717">
        <f t="shared" si="77"/>
        <v>2.8</v>
      </c>
    </row>
    <row r="84" spans="1:31" ht="18" customHeight="1" x14ac:dyDescent="0.3">
      <c r="A84" s="864" t="s">
        <v>961</v>
      </c>
      <c r="B84" s="715">
        <f>SUM(B80:B83)</f>
        <v>32</v>
      </c>
      <c r="C84" s="715">
        <f>SUM(C80:C83)</f>
        <v>18</v>
      </c>
      <c r="D84" s="715">
        <f>SUM(D80:D83)</f>
        <v>22</v>
      </c>
      <c r="E84" s="715">
        <f>SUM(E80:E83)</f>
        <v>27</v>
      </c>
      <c r="F84" s="715">
        <f>SUM(F80:F83)</f>
        <v>30</v>
      </c>
      <c r="G84" s="716">
        <f t="shared" si="65"/>
        <v>25.8</v>
      </c>
      <c r="H84" s="715">
        <f>SUM(H80:H83)</f>
        <v>42</v>
      </c>
      <c r="I84" s="716">
        <f t="shared" si="66"/>
        <v>27.8</v>
      </c>
      <c r="J84" s="715">
        <f>SUM(J80:J83)</f>
        <v>28</v>
      </c>
      <c r="K84" s="716">
        <f t="shared" si="67"/>
        <v>29.8</v>
      </c>
      <c r="L84" s="715">
        <f>SUM(L80:L83)</f>
        <v>36</v>
      </c>
      <c r="M84" s="716">
        <f t="shared" si="68"/>
        <v>32.6</v>
      </c>
      <c r="N84" s="715">
        <f>SUM(N80:N83)</f>
        <v>32</v>
      </c>
      <c r="O84" s="717">
        <f t="shared" si="69"/>
        <v>33.6</v>
      </c>
      <c r="P84" s="715">
        <f>SUM(P80:P83)</f>
        <v>31</v>
      </c>
      <c r="Q84" s="717">
        <f t="shared" si="70"/>
        <v>33.799999999999997</v>
      </c>
      <c r="R84" s="715">
        <f>SUM(R80:R83)</f>
        <v>41</v>
      </c>
      <c r="S84" s="717">
        <f t="shared" si="71"/>
        <v>33.6</v>
      </c>
      <c r="T84" s="715">
        <f>SUM(T80:T83)</f>
        <v>40</v>
      </c>
      <c r="U84" s="717">
        <f t="shared" si="72"/>
        <v>36</v>
      </c>
      <c r="V84" s="715">
        <f>SUM(V80:V83)</f>
        <v>33</v>
      </c>
      <c r="W84" s="717">
        <f t="shared" si="73"/>
        <v>35.4</v>
      </c>
      <c r="X84" s="715">
        <f>SUM(X80:X83)</f>
        <v>30</v>
      </c>
      <c r="Y84" s="717">
        <f t="shared" si="74"/>
        <v>35</v>
      </c>
      <c r="Z84" s="715">
        <f>SUM(Z80:Z83)</f>
        <v>17</v>
      </c>
      <c r="AA84" s="717">
        <f t="shared" si="75"/>
        <v>32.200000000000003</v>
      </c>
      <c r="AB84" s="715">
        <f>SUM(AB80:AB83)</f>
        <v>30</v>
      </c>
      <c r="AC84" s="717">
        <f t="shared" si="76"/>
        <v>30</v>
      </c>
      <c r="AD84" s="715">
        <f>SUM(AD80:AD83)</f>
        <v>40</v>
      </c>
      <c r="AE84" s="717">
        <f t="shared" si="77"/>
        <v>30</v>
      </c>
    </row>
    <row r="85" spans="1:31" ht="18" customHeight="1" thickBot="1" x14ac:dyDescent="0.35">
      <c r="A85" s="971" t="s">
        <v>418</v>
      </c>
      <c r="B85" s="972">
        <f>+B84+B78+B70</f>
        <v>143</v>
      </c>
      <c r="C85" s="972">
        <f>+C84+C78+C70</f>
        <v>159</v>
      </c>
      <c r="D85" s="972">
        <f>+D84+D78+D70</f>
        <v>157</v>
      </c>
      <c r="E85" s="972">
        <f>+E84+E78+E70</f>
        <v>123</v>
      </c>
      <c r="F85" s="972">
        <f>+F84+F78+F70</f>
        <v>124</v>
      </c>
      <c r="G85" s="724">
        <f t="shared" si="65"/>
        <v>141.19999999999999</v>
      </c>
      <c r="H85" s="972">
        <f>+H84+H78+H70</f>
        <v>147</v>
      </c>
      <c r="I85" s="724">
        <f t="shared" si="66"/>
        <v>142</v>
      </c>
      <c r="J85" s="972">
        <f>+J84+J78+J70</f>
        <v>143</v>
      </c>
      <c r="K85" s="724">
        <f t="shared" si="67"/>
        <v>138.80000000000001</v>
      </c>
      <c r="L85" s="972">
        <f>+L84+L78+L70</f>
        <v>151</v>
      </c>
      <c r="M85" s="725">
        <f t="shared" si="68"/>
        <v>137.6</v>
      </c>
      <c r="N85" s="975">
        <f>+N84+N78+N70</f>
        <v>159</v>
      </c>
      <c r="O85" s="727">
        <f t="shared" si="69"/>
        <v>144.80000000000001</v>
      </c>
      <c r="P85" s="975">
        <f>+P84+P78+P70</f>
        <v>181</v>
      </c>
      <c r="Q85" s="727">
        <f t="shared" si="70"/>
        <v>156.19999999999999</v>
      </c>
      <c r="R85" s="975">
        <f>+R84+R78+R70</f>
        <v>150</v>
      </c>
      <c r="S85" s="727">
        <f t="shared" si="71"/>
        <v>156.80000000000001</v>
      </c>
      <c r="T85" s="975">
        <f>+T84+T78+T70</f>
        <v>138</v>
      </c>
      <c r="U85" s="727">
        <f t="shared" si="72"/>
        <v>155.80000000000001</v>
      </c>
      <c r="V85" s="975">
        <f>+V84+V78+V70</f>
        <v>148</v>
      </c>
      <c r="W85" s="727">
        <f t="shared" si="73"/>
        <v>155.19999999999999</v>
      </c>
      <c r="X85" s="975">
        <f>+X84+X78+X70</f>
        <v>148</v>
      </c>
      <c r="Y85" s="727">
        <f t="shared" si="74"/>
        <v>153</v>
      </c>
      <c r="Z85" s="975">
        <f>+Z84+Z78+Z70</f>
        <v>135</v>
      </c>
      <c r="AA85" s="727">
        <f t="shared" si="75"/>
        <v>143.80000000000001</v>
      </c>
      <c r="AB85" s="975">
        <f>+AB84+AB78+AB70</f>
        <v>153</v>
      </c>
      <c r="AC85" s="727">
        <f t="shared" si="76"/>
        <v>144.4</v>
      </c>
      <c r="AD85" s="975">
        <f>+AD84+AD78+AD70</f>
        <v>146</v>
      </c>
      <c r="AE85" s="727">
        <f t="shared" si="77"/>
        <v>146</v>
      </c>
    </row>
    <row r="86" spans="1:31" ht="20.25" customHeight="1" thickBot="1" x14ac:dyDescent="0.35">
      <c r="A86" s="1779" t="s">
        <v>419</v>
      </c>
      <c r="B86" s="1780"/>
      <c r="C86" s="1780"/>
      <c r="D86" s="1780"/>
      <c r="E86" s="1780"/>
      <c r="F86" s="1780"/>
      <c r="G86" s="1780"/>
      <c r="H86" s="1780"/>
      <c r="I86" s="1780"/>
      <c r="J86" s="1780"/>
      <c r="K86" s="1780"/>
      <c r="L86" s="1780"/>
      <c r="M86" s="1780"/>
      <c r="N86" s="1780"/>
      <c r="O86" s="1780"/>
      <c r="P86" s="1780"/>
      <c r="Q86" s="1780"/>
      <c r="R86" s="1780"/>
      <c r="S86" s="1780"/>
      <c r="T86" s="1780"/>
      <c r="U86" s="1780"/>
      <c r="V86" s="1780"/>
      <c r="W86" s="1780"/>
      <c r="X86" s="1780"/>
      <c r="Y86" s="1780"/>
      <c r="Z86" s="1780"/>
      <c r="AA86" s="1780"/>
      <c r="AB86" s="1780"/>
      <c r="AC86" s="1780"/>
      <c r="AD86" s="1780"/>
      <c r="AE86" s="1781"/>
    </row>
    <row r="87" spans="1:31" ht="20.25" customHeight="1" x14ac:dyDescent="0.3">
      <c r="A87" s="675" t="s">
        <v>401</v>
      </c>
      <c r="B87" s="673" t="s">
        <v>391</v>
      </c>
      <c r="C87" s="673" t="s">
        <v>1297</v>
      </c>
      <c r="D87" s="673" t="s">
        <v>1298</v>
      </c>
      <c r="E87" s="673" t="s">
        <v>1299</v>
      </c>
      <c r="F87" s="671" t="s">
        <v>738</v>
      </c>
      <c r="G87" s="714" t="s">
        <v>475</v>
      </c>
      <c r="H87" s="671" t="s">
        <v>596</v>
      </c>
      <c r="I87" s="714" t="s">
        <v>475</v>
      </c>
      <c r="J87" s="671" t="s">
        <v>1306</v>
      </c>
      <c r="K87" s="714" t="s">
        <v>475</v>
      </c>
      <c r="L87" s="671" t="s">
        <v>1052</v>
      </c>
      <c r="M87" s="714" t="s">
        <v>475</v>
      </c>
      <c r="N87" s="671" t="s">
        <v>274</v>
      </c>
      <c r="O87" s="714" t="s">
        <v>475</v>
      </c>
      <c r="P87" s="671" t="s">
        <v>1261</v>
      </c>
      <c r="Q87" s="714" t="s">
        <v>475</v>
      </c>
      <c r="R87" s="671" t="s">
        <v>363</v>
      </c>
      <c r="S87" s="714" t="s">
        <v>475</v>
      </c>
      <c r="T87" s="671" t="s">
        <v>583</v>
      </c>
      <c r="U87" s="714" t="s">
        <v>475</v>
      </c>
      <c r="V87" s="671" t="str">
        <f>+V58</f>
        <v>2008-2009</v>
      </c>
      <c r="W87" s="714" t="s">
        <v>475</v>
      </c>
      <c r="X87" s="671" t="str">
        <f>+X58</f>
        <v>2009-2010</v>
      </c>
      <c r="Y87" s="714" t="s">
        <v>475</v>
      </c>
      <c r="Z87" s="671" t="str">
        <f>+Z58</f>
        <v>2010-2011</v>
      </c>
      <c r="AA87" s="714" t="s">
        <v>475</v>
      </c>
      <c r="AB87" s="671" t="str">
        <f>+AB58</f>
        <v>2011-2012</v>
      </c>
      <c r="AC87" s="714" t="s">
        <v>475</v>
      </c>
      <c r="AD87" s="671" t="s">
        <v>1503</v>
      </c>
      <c r="AE87" s="714" t="s">
        <v>475</v>
      </c>
    </row>
    <row r="88" spans="1:31" ht="18" customHeight="1" x14ac:dyDescent="0.3">
      <c r="A88" s="984" t="s">
        <v>420</v>
      </c>
      <c r="B88" s="995"/>
      <c r="C88" s="995"/>
      <c r="D88" s="995"/>
      <c r="E88" s="995"/>
      <c r="F88" s="986"/>
      <c r="G88" s="986"/>
      <c r="H88" s="986"/>
      <c r="I88" s="996"/>
      <c r="J88" s="996"/>
      <c r="K88" s="996"/>
      <c r="L88" s="996"/>
      <c r="M88" s="997"/>
      <c r="N88" s="996"/>
      <c r="O88" s="998"/>
      <c r="P88" s="996"/>
      <c r="Q88" s="998"/>
      <c r="R88" s="996"/>
      <c r="S88" s="998"/>
      <c r="T88" s="996"/>
      <c r="U88" s="998"/>
      <c r="V88" s="996"/>
      <c r="W88" s="998"/>
      <c r="X88" s="996"/>
      <c r="Y88" s="998"/>
      <c r="Z88" s="996"/>
      <c r="AA88" s="998"/>
      <c r="AB88" s="996"/>
      <c r="AC88" s="998"/>
      <c r="AD88" s="996"/>
      <c r="AE88" s="998"/>
    </row>
    <row r="89" spans="1:31" ht="18" customHeight="1" x14ac:dyDescent="0.3">
      <c r="A89" s="863" t="s">
        <v>1099</v>
      </c>
      <c r="B89" s="669">
        <v>0</v>
      </c>
      <c r="C89" s="669">
        <v>0</v>
      </c>
      <c r="D89" s="669">
        <v>0</v>
      </c>
      <c r="E89" s="669">
        <v>0</v>
      </c>
      <c r="F89" s="669">
        <v>24</v>
      </c>
      <c r="G89" s="716">
        <f t="shared" ref="G89:G96" si="78">AVERAGE(B89:F89)</f>
        <v>4.8</v>
      </c>
      <c r="H89" s="669">
        <v>24</v>
      </c>
      <c r="I89" s="716">
        <f t="shared" ref="I89:I96" si="79">(+H89+F89+E89+D89+C89)/5</f>
        <v>9.6</v>
      </c>
      <c r="J89" s="669">
        <v>12</v>
      </c>
      <c r="K89" s="716">
        <f t="shared" ref="K89:K96" si="80">(+J89+H89+F89+E89+D89)/5</f>
        <v>12</v>
      </c>
      <c r="L89" s="669">
        <v>18</v>
      </c>
      <c r="M89" s="716">
        <f t="shared" ref="M89:M96" si="81">(L89+J89+H89+F89+E89)/5</f>
        <v>15.6</v>
      </c>
      <c r="N89" s="669">
        <v>28</v>
      </c>
      <c r="O89" s="717">
        <f t="shared" ref="O89:O96" si="82">(+N89+L89+J89+H89+F89)/5</f>
        <v>21.2</v>
      </c>
      <c r="P89" s="669">
        <v>28</v>
      </c>
      <c r="Q89" s="717">
        <f t="shared" ref="Q89:Q96" si="83">(P89+N89+L89+J89+H89)/5</f>
        <v>22</v>
      </c>
      <c r="R89" s="669">
        <v>23</v>
      </c>
      <c r="S89" s="717">
        <f t="shared" ref="S89:S96" si="84">(R89+P89+N89+L89+J89)/5</f>
        <v>21.8</v>
      </c>
      <c r="T89" s="669">
        <v>22</v>
      </c>
      <c r="U89" s="717">
        <f t="shared" ref="U89:U96" si="85">(T89+R89+P89+N89+L89)/5</f>
        <v>23.8</v>
      </c>
      <c r="V89" s="669">
        <v>14</v>
      </c>
      <c r="W89" s="717">
        <f t="shared" ref="W89:W96" si="86">(V89+T89+R89+P89+N89)/5</f>
        <v>23</v>
      </c>
      <c r="X89" s="669">
        <v>16</v>
      </c>
      <c r="Y89" s="717">
        <f t="shared" ref="Y89:Y96" si="87">(X89+V89+T89+R89+P89)/5</f>
        <v>20.6</v>
      </c>
      <c r="Z89" s="669">
        <v>25</v>
      </c>
      <c r="AA89" s="717">
        <f t="shared" ref="AA89:AA96" si="88">(Z89+X89+V89+T89+R89)/5</f>
        <v>20</v>
      </c>
      <c r="AB89" s="669">
        <v>16</v>
      </c>
      <c r="AC89" s="717">
        <f t="shared" ref="AC89:AC96" si="89">(AB89+Z89+X89+V89+T89)/5</f>
        <v>18.600000000000001</v>
      </c>
      <c r="AD89" s="669">
        <v>17</v>
      </c>
      <c r="AE89" s="717">
        <f t="shared" ref="AE89:AE96" si="90">(AD89+AB89+Z89+X89+V89)/5</f>
        <v>17.600000000000001</v>
      </c>
    </row>
    <row r="90" spans="1:31" ht="18" customHeight="1" x14ac:dyDescent="0.3">
      <c r="A90" s="863" t="s">
        <v>1104</v>
      </c>
      <c r="B90" s="669">
        <v>0</v>
      </c>
      <c r="C90" s="669">
        <v>0</v>
      </c>
      <c r="D90" s="669">
        <v>0</v>
      </c>
      <c r="E90" s="669">
        <v>0</v>
      </c>
      <c r="F90" s="669">
        <v>18</v>
      </c>
      <c r="G90" s="716">
        <f t="shared" si="78"/>
        <v>3.6</v>
      </c>
      <c r="H90" s="669">
        <v>17</v>
      </c>
      <c r="I90" s="716">
        <f t="shared" si="79"/>
        <v>7</v>
      </c>
      <c r="J90" s="669">
        <v>12</v>
      </c>
      <c r="K90" s="716">
        <f t="shared" si="80"/>
        <v>9.4</v>
      </c>
      <c r="L90" s="669">
        <v>18</v>
      </c>
      <c r="M90" s="716">
        <f t="shared" si="81"/>
        <v>13</v>
      </c>
      <c r="N90" s="669">
        <v>9</v>
      </c>
      <c r="O90" s="717">
        <f t="shared" si="82"/>
        <v>14.8</v>
      </c>
      <c r="P90" s="669">
        <v>5</v>
      </c>
      <c r="Q90" s="717">
        <f t="shared" si="83"/>
        <v>12.2</v>
      </c>
      <c r="R90" s="669">
        <v>5</v>
      </c>
      <c r="S90" s="717">
        <f t="shared" si="84"/>
        <v>9.8000000000000007</v>
      </c>
      <c r="T90" s="669">
        <v>7</v>
      </c>
      <c r="U90" s="717">
        <f t="shared" si="85"/>
        <v>8.8000000000000007</v>
      </c>
      <c r="V90" s="669">
        <v>7</v>
      </c>
      <c r="W90" s="717">
        <f t="shared" si="86"/>
        <v>6.6</v>
      </c>
      <c r="X90" s="669">
        <v>8</v>
      </c>
      <c r="Y90" s="717">
        <f t="shared" si="87"/>
        <v>6.4</v>
      </c>
      <c r="Z90" s="669">
        <v>4</v>
      </c>
      <c r="AA90" s="717">
        <f t="shared" si="88"/>
        <v>6.2</v>
      </c>
      <c r="AB90" s="669">
        <v>9</v>
      </c>
      <c r="AC90" s="717">
        <f t="shared" si="89"/>
        <v>7</v>
      </c>
      <c r="AD90" s="669">
        <v>4</v>
      </c>
      <c r="AE90" s="717">
        <f t="shared" si="90"/>
        <v>6.4</v>
      </c>
    </row>
    <row r="91" spans="1:31" ht="18" customHeight="1" x14ac:dyDescent="0.3">
      <c r="A91" s="863" t="s">
        <v>1105</v>
      </c>
      <c r="B91" s="669">
        <v>86</v>
      </c>
      <c r="C91" s="669">
        <v>84</v>
      </c>
      <c r="D91" s="669">
        <v>68</v>
      </c>
      <c r="E91" s="669">
        <v>95</v>
      </c>
      <c r="F91" s="669">
        <v>0</v>
      </c>
      <c r="G91" s="716">
        <f t="shared" si="78"/>
        <v>66.599999999999994</v>
      </c>
      <c r="H91" s="669">
        <v>0</v>
      </c>
      <c r="I91" s="716">
        <f t="shared" si="79"/>
        <v>49.4</v>
      </c>
      <c r="J91" s="669">
        <v>1</v>
      </c>
      <c r="K91" s="716">
        <f t="shared" si="80"/>
        <v>32.799999999999997</v>
      </c>
      <c r="L91" s="669">
        <v>0</v>
      </c>
      <c r="M91" s="716">
        <f t="shared" si="81"/>
        <v>19.2</v>
      </c>
      <c r="N91" s="669">
        <v>0</v>
      </c>
      <c r="O91" s="717">
        <f t="shared" si="82"/>
        <v>0.2</v>
      </c>
      <c r="P91" s="669">
        <v>0</v>
      </c>
      <c r="Q91" s="717">
        <f t="shared" si="83"/>
        <v>0.2</v>
      </c>
      <c r="R91" s="669">
        <v>0</v>
      </c>
      <c r="S91" s="717">
        <f t="shared" si="84"/>
        <v>0.2</v>
      </c>
      <c r="T91" s="669">
        <v>0</v>
      </c>
      <c r="U91" s="717">
        <f t="shared" si="85"/>
        <v>0</v>
      </c>
      <c r="V91" s="669">
        <v>0</v>
      </c>
      <c r="W91" s="717">
        <f t="shared" si="86"/>
        <v>0</v>
      </c>
      <c r="X91" s="669">
        <v>0</v>
      </c>
      <c r="Y91" s="717">
        <f t="shared" si="87"/>
        <v>0</v>
      </c>
      <c r="Z91" s="669">
        <v>0</v>
      </c>
      <c r="AA91" s="717">
        <f t="shared" si="88"/>
        <v>0</v>
      </c>
      <c r="AB91" s="669">
        <v>0</v>
      </c>
      <c r="AC91" s="717">
        <f t="shared" si="89"/>
        <v>0</v>
      </c>
      <c r="AD91" s="669">
        <v>0</v>
      </c>
      <c r="AE91" s="717">
        <f t="shared" si="90"/>
        <v>0</v>
      </c>
    </row>
    <row r="92" spans="1:31" ht="18" customHeight="1" x14ac:dyDescent="0.3">
      <c r="A92" s="863" t="s">
        <v>1106</v>
      </c>
      <c r="B92" s="669">
        <v>0</v>
      </c>
      <c r="C92" s="669">
        <v>0</v>
      </c>
      <c r="D92" s="669">
        <v>0</v>
      </c>
      <c r="E92" s="669">
        <v>0</v>
      </c>
      <c r="F92" s="669">
        <v>2</v>
      </c>
      <c r="G92" s="716">
        <f t="shared" si="78"/>
        <v>0.4</v>
      </c>
      <c r="H92" s="669">
        <v>8</v>
      </c>
      <c r="I92" s="716">
        <f t="shared" si="79"/>
        <v>2</v>
      </c>
      <c r="J92" s="669">
        <v>10</v>
      </c>
      <c r="K92" s="716">
        <f t="shared" si="80"/>
        <v>4</v>
      </c>
      <c r="L92" s="669">
        <v>24</v>
      </c>
      <c r="M92" s="716">
        <f t="shared" si="81"/>
        <v>8.8000000000000007</v>
      </c>
      <c r="N92" s="669">
        <v>22</v>
      </c>
      <c r="O92" s="717">
        <f t="shared" si="82"/>
        <v>13.2</v>
      </c>
      <c r="P92" s="669">
        <v>21</v>
      </c>
      <c r="Q92" s="717">
        <f t="shared" si="83"/>
        <v>17</v>
      </c>
      <c r="R92" s="669">
        <v>23</v>
      </c>
      <c r="S92" s="717">
        <f t="shared" si="84"/>
        <v>20</v>
      </c>
      <c r="T92" s="669">
        <v>24</v>
      </c>
      <c r="U92" s="717">
        <f t="shared" si="85"/>
        <v>22.8</v>
      </c>
      <c r="V92" s="669">
        <v>17</v>
      </c>
      <c r="W92" s="717">
        <f t="shared" si="86"/>
        <v>21.4</v>
      </c>
      <c r="X92" s="669">
        <v>31</v>
      </c>
      <c r="Y92" s="717">
        <f t="shared" si="87"/>
        <v>23.2</v>
      </c>
      <c r="Z92" s="669">
        <v>23</v>
      </c>
      <c r="AA92" s="717">
        <f t="shared" si="88"/>
        <v>23.6</v>
      </c>
      <c r="AB92" s="669">
        <v>34</v>
      </c>
      <c r="AC92" s="717">
        <f t="shared" si="89"/>
        <v>25.8</v>
      </c>
      <c r="AD92" s="669">
        <v>42</v>
      </c>
      <c r="AE92" s="717">
        <f t="shared" si="90"/>
        <v>29.4</v>
      </c>
    </row>
    <row r="93" spans="1:31" ht="18" customHeight="1" x14ac:dyDescent="0.3">
      <c r="A93" s="863" t="s">
        <v>1107</v>
      </c>
      <c r="B93" s="669">
        <v>0</v>
      </c>
      <c r="C93" s="669">
        <v>0</v>
      </c>
      <c r="D93" s="669">
        <v>0</v>
      </c>
      <c r="E93" s="669">
        <v>0</v>
      </c>
      <c r="F93" s="669">
        <v>46</v>
      </c>
      <c r="G93" s="716">
        <f t="shared" si="78"/>
        <v>9.1999999999999993</v>
      </c>
      <c r="H93" s="669">
        <v>60</v>
      </c>
      <c r="I93" s="716">
        <f t="shared" si="79"/>
        <v>21.2</v>
      </c>
      <c r="J93" s="669">
        <v>64</v>
      </c>
      <c r="K93" s="716">
        <f t="shared" si="80"/>
        <v>34</v>
      </c>
      <c r="L93" s="669">
        <v>68</v>
      </c>
      <c r="M93" s="716">
        <f t="shared" si="81"/>
        <v>47.6</v>
      </c>
      <c r="N93" s="669">
        <v>49</v>
      </c>
      <c r="O93" s="717">
        <f t="shared" si="82"/>
        <v>57.4</v>
      </c>
      <c r="P93" s="669">
        <v>47</v>
      </c>
      <c r="Q93" s="717">
        <f t="shared" si="83"/>
        <v>57.6</v>
      </c>
      <c r="R93" s="669">
        <v>54</v>
      </c>
      <c r="S93" s="717">
        <f t="shared" si="84"/>
        <v>56.4</v>
      </c>
      <c r="T93" s="669">
        <v>48</v>
      </c>
      <c r="U93" s="717">
        <f t="shared" si="85"/>
        <v>53.2</v>
      </c>
      <c r="V93" s="669">
        <v>49</v>
      </c>
      <c r="W93" s="717">
        <f t="shared" si="86"/>
        <v>49.4</v>
      </c>
      <c r="X93" s="669">
        <v>49</v>
      </c>
      <c r="Y93" s="717">
        <f t="shared" si="87"/>
        <v>49.4</v>
      </c>
      <c r="Z93" s="669">
        <v>43</v>
      </c>
      <c r="AA93" s="717">
        <f t="shared" si="88"/>
        <v>48.6</v>
      </c>
      <c r="AB93" s="669">
        <v>51</v>
      </c>
      <c r="AC93" s="717">
        <f t="shared" si="89"/>
        <v>48</v>
      </c>
      <c r="AD93" s="669">
        <v>40</v>
      </c>
      <c r="AE93" s="717">
        <f t="shared" si="90"/>
        <v>46.4</v>
      </c>
    </row>
    <row r="94" spans="1:31" ht="18" customHeight="1" x14ac:dyDescent="0.3">
      <c r="A94" s="863" t="s">
        <v>82</v>
      </c>
      <c r="B94" s="669">
        <v>13</v>
      </c>
      <c r="C94" s="669">
        <v>27</v>
      </c>
      <c r="D94" s="669">
        <v>33</v>
      </c>
      <c r="E94" s="669">
        <v>24</v>
      </c>
      <c r="F94" s="669">
        <v>24</v>
      </c>
      <c r="G94" s="716">
        <f t="shared" si="78"/>
        <v>24.2</v>
      </c>
      <c r="H94" s="669">
        <v>15</v>
      </c>
      <c r="I94" s="716">
        <f t="shared" si="79"/>
        <v>24.6</v>
      </c>
      <c r="J94" s="669">
        <v>2</v>
      </c>
      <c r="K94" s="716">
        <f t="shared" si="80"/>
        <v>19.600000000000001</v>
      </c>
      <c r="L94" s="669">
        <v>1</v>
      </c>
      <c r="M94" s="716">
        <f t="shared" si="81"/>
        <v>13.2</v>
      </c>
      <c r="N94" s="669">
        <v>0</v>
      </c>
      <c r="O94" s="717">
        <f t="shared" si="82"/>
        <v>8.4</v>
      </c>
      <c r="P94" s="669">
        <v>0</v>
      </c>
      <c r="Q94" s="717">
        <f t="shared" si="83"/>
        <v>3.6</v>
      </c>
      <c r="R94" s="669">
        <v>0</v>
      </c>
      <c r="S94" s="717">
        <f t="shared" si="84"/>
        <v>0.6</v>
      </c>
      <c r="T94" s="669">
        <v>0</v>
      </c>
      <c r="U94" s="717">
        <f t="shared" si="85"/>
        <v>0.2</v>
      </c>
      <c r="V94" s="669">
        <v>0</v>
      </c>
      <c r="W94" s="717">
        <f t="shared" si="86"/>
        <v>0</v>
      </c>
      <c r="X94" s="669">
        <v>0</v>
      </c>
      <c r="Y94" s="717">
        <f t="shared" si="87"/>
        <v>0</v>
      </c>
      <c r="Z94" s="669">
        <v>0</v>
      </c>
      <c r="AA94" s="717">
        <f t="shared" si="88"/>
        <v>0</v>
      </c>
      <c r="AB94" s="669">
        <v>0</v>
      </c>
      <c r="AC94" s="717">
        <f t="shared" si="89"/>
        <v>0</v>
      </c>
      <c r="AD94" s="669">
        <v>0</v>
      </c>
      <c r="AE94" s="717">
        <f t="shared" si="90"/>
        <v>0</v>
      </c>
    </row>
    <row r="95" spans="1:31" ht="18" customHeight="1" x14ac:dyDescent="0.3">
      <c r="A95" s="863" t="s">
        <v>1086</v>
      </c>
      <c r="B95" s="669">
        <v>0</v>
      </c>
      <c r="C95" s="669">
        <v>0</v>
      </c>
      <c r="D95" s="669">
        <v>0</v>
      </c>
      <c r="E95" s="669">
        <v>0</v>
      </c>
      <c r="F95" s="669">
        <v>0</v>
      </c>
      <c r="G95" s="716">
        <f t="shared" si="78"/>
        <v>0</v>
      </c>
      <c r="H95" s="669">
        <v>0</v>
      </c>
      <c r="I95" s="716">
        <f t="shared" si="79"/>
        <v>0</v>
      </c>
      <c r="J95" s="669">
        <v>0</v>
      </c>
      <c r="K95" s="716">
        <f t="shared" si="80"/>
        <v>0</v>
      </c>
      <c r="L95" s="669">
        <v>0</v>
      </c>
      <c r="M95" s="716">
        <f t="shared" si="81"/>
        <v>0</v>
      </c>
      <c r="N95" s="669">
        <v>3</v>
      </c>
      <c r="O95" s="717">
        <f t="shared" si="82"/>
        <v>0.6</v>
      </c>
      <c r="P95" s="669">
        <v>5</v>
      </c>
      <c r="Q95" s="717">
        <f t="shared" si="83"/>
        <v>1.6</v>
      </c>
      <c r="R95" s="669">
        <v>8</v>
      </c>
      <c r="S95" s="717">
        <f t="shared" si="84"/>
        <v>3.2</v>
      </c>
      <c r="T95" s="669">
        <v>1</v>
      </c>
      <c r="U95" s="717">
        <f t="shared" si="85"/>
        <v>3.4</v>
      </c>
      <c r="V95" s="669">
        <v>4</v>
      </c>
      <c r="W95" s="717">
        <f t="shared" si="86"/>
        <v>4.2</v>
      </c>
      <c r="X95" s="669">
        <v>5</v>
      </c>
      <c r="Y95" s="717">
        <f t="shared" si="87"/>
        <v>4.5999999999999996</v>
      </c>
      <c r="Z95" s="669">
        <v>5</v>
      </c>
      <c r="AA95" s="717">
        <f t="shared" si="88"/>
        <v>4.5999999999999996</v>
      </c>
      <c r="AB95" s="669">
        <v>6</v>
      </c>
      <c r="AC95" s="717">
        <f t="shared" si="89"/>
        <v>4.2</v>
      </c>
      <c r="AD95" s="669">
        <v>7</v>
      </c>
      <c r="AE95" s="717">
        <f t="shared" si="90"/>
        <v>5.4</v>
      </c>
    </row>
    <row r="96" spans="1:31" ht="18" customHeight="1" x14ac:dyDescent="0.3">
      <c r="A96" s="864" t="s">
        <v>961</v>
      </c>
      <c r="B96" s="715">
        <f>SUM(B89:B95)</f>
        <v>99</v>
      </c>
      <c r="C96" s="715">
        <f>SUM(C89:C95)</f>
        <v>111</v>
      </c>
      <c r="D96" s="715">
        <f>SUM(D89:D95)</f>
        <v>101</v>
      </c>
      <c r="E96" s="715">
        <f>SUM(E89:E95)</f>
        <v>119</v>
      </c>
      <c r="F96" s="715">
        <f>SUM(F89:F95)</f>
        <v>114</v>
      </c>
      <c r="G96" s="716">
        <f t="shared" si="78"/>
        <v>108.8</v>
      </c>
      <c r="H96" s="715">
        <f>SUM(H89:H95)</f>
        <v>124</v>
      </c>
      <c r="I96" s="716">
        <f t="shared" si="79"/>
        <v>113.8</v>
      </c>
      <c r="J96" s="715">
        <f>SUM(J89:J95)</f>
        <v>101</v>
      </c>
      <c r="K96" s="716">
        <f t="shared" si="80"/>
        <v>111.8</v>
      </c>
      <c r="L96" s="715">
        <f>SUM(L89:L95)</f>
        <v>129</v>
      </c>
      <c r="M96" s="716">
        <f t="shared" si="81"/>
        <v>117.4</v>
      </c>
      <c r="N96" s="715">
        <f>SUM(N89:N95)</f>
        <v>111</v>
      </c>
      <c r="O96" s="717">
        <f t="shared" si="82"/>
        <v>115.8</v>
      </c>
      <c r="P96" s="715">
        <f>SUM(P89:P95)</f>
        <v>106</v>
      </c>
      <c r="Q96" s="717">
        <f t="shared" si="83"/>
        <v>114.2</v>
      </c>
      <c r="R96" s="715">
        <f>SUM(R89:R95)</f>
        <v>113</v>
      </c>
      <c r="S96" s="717">
        <f t="shared" si="84"/>
        <v>112</v>
      </c>
      <c r="T96" s="715">
        <f>SUM(T89:T95)</f>
        <v>102</v>
      </c>
      <c r="U96" s="717">
        <f t="shared" si="85"/>
        <v>112.2</v>
      </c>
      <c r="V96" s="715">
        <f>SUM(V89:V95)</f>
        <v>91</v>
      </c>
      <c r="W96" s="717">
        <f t="shared" si="86"/>
        <v>104.6</v>
      </c>
      <c r="X96" s="715">
        <f>SUM(X89:X95)</f>
        <v>109</v>
      </c>
      <c r="Y96" s="717">
        <f t="shared" si="87"/>
        <v>104.2</v>
      </c>
      <c r="Z96" s="715">
        <f>SUM(Z89:Z95)</f>
        <v>100</v>
      </c>
      <c r="AA96" s="717">
        <f t="shared" si="88"/>
        <v>103</v>
      </c>
      <c r="AB96" s="715">
        <f>SUM(AB89:AB95)</f>
        <v>116</v>
      </c>
      <c r="AC96" s="717">
        <f t="shared" si="89"/>
        <v>103.6</v>
      </c>
      <c r="AD96" s="715">
        <f>SUM(AD89:AD95)</f>
        <v>110</v>
      </c>
      <c r="AE96" s="717">
        <f t="shared" si="90"/>
        <v>105.2</v>
      </c>
    </row>
    <row r="97" spans="1:31" ht="18" customHeight="1" x14ac:dyDescent="0.3">
      <c r="A97" s="984" t="s">
        <v>421</v>
      </c>
      <c r="B97" s="985"/>
      <c r="C97" s="985"/>
      <c r="D97" s="985"/>
      <c r="E97" s="985"/>
      <c r="F97" s="986"/>
      <c r="G97" s="986"/>
      <c r="H97" s="986"/>
      <c r="I97" s="986"/>
      <c r="J97" s="986"/>
      <c r="K97" s="986"/>
      <c r="L97" s="986"/>
      <c r="M97" s="986"/>
      <c r="N97" s="986"/>
      <c r="O97" s="987"/>
      <c r="P97" s="986"/>
      <c r="Q97" s="987"/>
      <c r="R97" s="986"/>
      <c r="S97" s="987"/>
      <c r="T97" s="986"/>
      <c r="U97" s="987"/>
      <c r="V97" s="986"/>
      <c r="W97" s="987"/>
      <c r="X97" s="986"/>
      <c r="Y97" s="987"/>
      <c r="Z97" s="986"/>
      <c r="AA97" s="987"/>
      <c r="AB97" s="986"/>
      <c r="AC97" s="987"/>
      <c r="AD97" s="986"/>
      <c r="AE97" s="987"/>
    </row>
    <row r="98" spans="1:31" ht="18" customHeight="1" x14ac:dyDescent="0.3">
      <c r="A98" s="684" t="s">
        <v>502</v>
      </c>
      <c r="B98" s="669">
        <v>0</v>
      </c>
      <c r="C98" s="669">
        <v>0</v>
      </c>
      <c r="D98" s="669">
        <v>0</v>
      </c>
      <c r="E98" s="669">
        <v>0</v>
      </c>
      <c r="F98" s="669">
        <v>0</v>
      </c>
      <c r="G98" s="716">
        <f t="shared" ref="G98:G111" si="91">AVERAGE(B98:F98)</f>
        <v>0</v>
      </c>
      <c r="H98" s="669">
        <v>0</v>
      </c>
      <c r="I98" s="716">
        <f t="shared" ref="I98:I111" si="92">(+H98+F98+E98+D98+C98)/5</f>
        <v>0</v>
      </c>
      <c r="J98" s="669">
        <v>0</v>
      </c>
      <c r="K98" s="716">
        <f t="shared" ref="K98:K111" si="93">(+J98+H98+F98+E98+D98)/5</f>
        <v>0</v>
      </c>
      <c r="L98" s="669">
        <v>0</v>
      </c>
      <c r="M98" s="716">
        <f t="shared" ref="M98:M111" si="94">(L98+J98+H98+F98+E98)/5</f>
        <v>0</v>
      </c>
      <c r="N98" s="669">
        <v>0</v>
      </c>
      <c r="O98" s="717">
        <f t="shared" ref="O98:O111" si="95">(+N98+L98+J98+H98+F98)/5</f>
        <v>0</v>
      </c>
      <c r="P98" s="669">
        <v>0</v>
      </c>
      <c r="Q98" s="717">
        <f t="shared" ref="Q98:Q111" si="96">(P98+N98+L98+J98+H98)/5</f>
        <v>0</v>
      </c>
      <c r="R98" s="669">
        <v>0</v>
      </c>
      <c r="S98" s="717">
        <f t="shared" ref="S98:S111" si="97">(R98+P98+N98+L98+J98)/5</f>
        <v>0</v>
      </c>
      <c r="T98" s="669">
        <v>0</v>
      </c>
      <c r="U98" s="717">
        <f t="shared" ref="U98:U111" si="98">(T98+R98+P98+N98+L98)/5</f>
        <v>0</v>
      </c>
      <c r="V98" s="669">
        <v>3</v>
      </c>
      <c r="W98" s="717">
        <f t="shared" ref="W98:W111" si="99">(V98+T98+R98+P98+N98)/5</f>
        <v>0.6</v>
      </c>
      <c r="X98" s="669">
        <v>3</v>
      </c>
      <c r="Y98" s="717">
        <f t="shared" ref="Y98:Y111" si="100">(X98+V98+T98+R98+P98)/5</f>
        <v>1.2</v>
      </c>
      <c r="Z98" s="669">
        <v>1</v>
      </c>
      <c r="AA98" s="717">
        <f t="shared" ref="AA98:AA111" si="101">(Z98+X98+V98+T98+R98)/5</f>
        <v>1.4</v>
      </c>
      <c r="AB98" s="669">
        <v>3</v>
      </c>
      <c r="AC98" s="717">
        <f t="shared" ref="AC98:AC111" si="102">(AB98+Z98+X98+V98+T98)/5</f>
        <v>2</v>
      </c>
      <c r="AD98" s="669">
        <v>2</v>
      </c>
      <c r="AE98" s="717">
        <f t="shared" ref="AE98:AE111" si="103">(AD98+AB98+Z98+X98+V98)/5</f>
        <v>2.4</v>
      </c>
    </row>
    <row r="99" spans="1:31" ht="18" customHeight="1" x14ac:dyDescent="0.3">
      <c r="A99" s="684" t="s">
        <v>1077</v>
      </c>
      <c r="B99" s="669">
        <v>10</v>
      </c>
      <c r="C99" s="669">
        <v>11</v>
      </c>
      <c r="D99" s="669">
        <v>11</v>
      </c>
      <c r="E99" s="669">
        <v>6</v>
      </c>
      <c r="F99" s="669">
        <v>7</v>
      </c>
      <c r="G99" s="716">
        <f t="shared" si="91"/>
        <v>9</v>
      </c>
      <c r="H99" s="669">
        <v>10</v>
      </c>
      <c r="I99" s="716">
        <f t="shared" si="92"/>
        <v>9</v>
      </c>
      <c r="J99" s="669">
        <v>5</v>
      </c>
      <c r="K99" s="716">
        <f t="shared" si="93"/>
        <v>7.8</v>
      </c>
      <c r="L99" s="669">
        <v>10</v>
      </c>
      <c r="M99" s="716">
        <f t="shared" si="94"/>
        <v>7.6</v>
      </c>
      <c r="N99" s="669">
        <v>8</v>
      </c>
      <c r="O99" s="717">
        <f t="shared" si="95"/>
        <v>8</v>
      </c>
      <c r="P99" s="669">
        <v>9</v>
      </c>
      <c r="Q99" s="717">
        <f t="shared" si="96"/>
        <v>8.4</v>
      </c>
      <c r="R99" s="669">
        <v>12</v>
      </c>
      <c r="S99" s="717">
        <f t="shared" si="97"/>
        <v>8.8000000000000007</v>
      </c>
      <c r="T99" s="669">
        <v>18</v>
      </c>
      <c r="U99" s="717">
        <f t="shared" si="98"/>
        <v>11.4</v>
      </c>
      <c r="V99" s="669">
        <v>17</v>
      </c>
      <c r="W99" s="717">
        <f t="shared" si="99"/>
        <v>12.8</v>
      </c>
      <c r="X99" s="669">
        <v>14</v>
      </c>
      <c r="Y99" s="717">
        <f t="shared" si="100"/>
        <v>14</v>
      </c>
      <c r="Z99" s="669">
        <v>9</v>
      </c>
      <c r="AA99" s="717">
        <f t="shared" si="101"/>
        <v>14</v>
      </c>
      <c r="AB99" s="669">
        <v>6</v>
      </c>
      <c r="AC99" s="717">
        <f t="shared" si="102"/>
        <v>12.8</v>
      </c>
      <c r="AD99" s="669">
        <v>13</v>
      </c>
      <c r="AE99" s="717">
        <f t="shared" si="103"/>
        <v>11.8</v>
      </c>
    </row>
    <row r="100" spans="1:31" ht="18" customHeight="1" x14ac:dyDescent="0.3">
      <c r="A100" s="684" t="s">
        <v>825</v>
      </c>
      <c r="B100" s="669">
        <v>0</v>
      </c>
      <c r="C100" s="669">
        <v>0</v>
      </c>
      <c r="D100" s="669">
        <v>0</v>
      </c>
      <c r="E100" s="669">
        <v>0</v>
      </c>
      <c r="F100" s="669">
        <v>0</v>
      </c>
      <c r="G100" s="716">
        <f t="shared" si="91"/>
        <v>0</v>
      </c>
      <c r="H100" s="669">
        <v>0</v>
      </c>
      <c r="I100" s="716">
        <f t="shared" si="92"/>
        <v>0</v>
      </c>
      <c r="J100" s="669">
        <v>0</v>
      </c>
      <c r="K100" s="716">
        <f t="shared" si="93"/>
        <v>0</v>
      </c>
      <c r="L100" s="669">
        <v>0</v>
      </c>
      <c r="M100" s="716">
        <f t="shared" si="94"/>
        <v>0</v>
      </c>
      <c r="N100" s="669">
        <v>0</v>
      </c>
      <c r="O100" s="717">
        <f t="shared" si="95"/>
        <v>0</v>
      </c>
      <c r="P100" s="669">
        <v>0</v>
      </c>
      <c r="Q100" s="717">
        <f t="shared" si="96"/>
        <v>0</v>
      </c>
      <c r="R100" s="669">
        <v>0</v>
      </c>
      <c r="S100" s="717">
        <f t="shared" si="97"/>
        <v>0</v>
      </c>
      <c r="T100" s="669">
        <v>8</v>
      </c>
      <c r="U100" s="717">
        <f t="shared" si="98"/>
        <v>1.6</v>
      </c>
      <c r="V100" s="669">
        <v>6</v>
      </c>
      <c r="W100" s="717">
        <f t="shared" si="99"/>
        <v>2.8</v>
      </c>
      <c r="X100" s="669">
        <v>2</v>
      </c>
      <c r="Y100" s="717">
        <f t="shared" si="100"/>
        <v>3.2</v>
      </c>
      <c r="Z100" s="669">
        <v>1</v>
      </c>
      <c r="AA100" s="717">
        <f t="shared" si="101"/>
        <v>3.4</v>
      </c>
      <c r="AB100" s="669">
        <v>0</v>
      </c>
      <c r="AC100" s="717">
        <f t="shared" si="102"/>
        <v>3.4</v>
      </c>
      <c r="AD100" s="669">
        <v>0</v>
      </c>
      <c r="AE100" s="717">
        <f t="shared" si="103"/>
        <v>1.8</v>
      </c>
    </row>
    <row r="101" spans="1:31" ht="18" customHeight="1" x14ac:dyDescent="0.3">
      <c r="A101" s="684" t="s">
        <v>719</v>
      </c>
      <c r="B101" s="669">
        <v>0</v>
      </c>
      <c r="C101" s="669">
        <v>0</v>
      </c>
      <c r="D101" s="669">
        <v>0</v>
      </c>
      <c r="E101" s="669">
        <v>0</v>
      </c>
      <c r="F101" s="669">
        <v>2</v>
      </c>
      <c r="G101" s="716">
        <f t="shared" si="91"/>
        <v>0.4</v>
      </c>
      <c r="H101" s="669">
        <v>3</v>
      </c>
      <c r="I101" s="716">
        <f t="shared" si="92"/>
        <v>1</v>
      </c>
      <c r="J101" s="669">
        <v>6</v>
      </c>
      <c r="K101" s="716">
        <f t="shared" si="93"/>
        <v>2.2000000000000002</v>
      </c>
      <c r="L101" s="669">
        <v>2</v>
      </c>
      <c r="M101" s="716">
        <f t="shared" si="94"/>
        <v>2.6</v>
      </c>
      <c r="N101" s="669">
        <v>3</v>
      </c>
      <c r="O101" s="717">
        <f t="shared" si="95"/>
        <v>3.2</v>
      </c>
      <c r="P101" s="669">
        <v>3</v>
      </c>
      <c r="Q101" s="717">
        <f t="shared" si="96"/>
        <v>3.4</v>
      </c>
      <c r="R101" s="669">
        <v>1</v>
      </c>
      <c r="S101" s="717">
        <f t="shared" si="97"/>
        <v>3</v>
      </c>
      <c r="T101" s="669">
        <v>0</v>
      </c>
      <c r="U101" s="717">
        <f t="shared" si="98"/>
        <v>1.8</v>
      </c>
      <c r="V101" s="669">
        <v>0</v>
      </c>
      <c r="W101" s="717">
        <f t="shared" si="99"/>
        <v>1.4</v>
      </c>
      <c r="X101" s="669">
        <v>0</v>
      </c>
      <c r="Y101" s="717">
        <f t="shared" si="100"/>
        <v>0.8</v>
      </c>
      <c r="Z101" s="669">
        <v>0</v>
      </c>
      <c r="AA101" s="717">
        <f t="shared" si="101"/>
        <v>0.2</v>
      </c>
      <c r="AB101" s="669">
        <v>0</v>
      </c>
      <c r="AC101" s="717">
        <f t="shared" si="102"/>
        <v>0</v>
      </c>
      <c r="AD101" s="669">
        <v>0</v>
      </c>
      <c r="AE101" s="717">
        <f t="shared" si="103"/>
        <v>0</v>
      </c>
    </row>
    <row r="102" spans="1:31" ht="18" customHeight="1" x14ac:dyDescent="0.3">
      <c r="A102" s="684" t="s">
        <v>513</v>
      </c>
      <c r="B102" s="669">
        <v>0</v>
      </c>
      <c r="C102" s="669">
        <v>0</v>
      </c>
      <c r="D102" s="669">
        <v>0</v>
      </c>
      <c r="E102" s="669">
        <v>0</v>
      </c>
      <c r="F102" s="669">
        <v>0</v>
      </c>
      <c r="G102" s="716">
        <f t="shared" si="91"/>
        <v>0</v>
      </c>
      <c r="H102" s="669">
        <v>0</v>
      </c>
      <c r="I102" s="716">
        <f t="shared" si="92"/>
        <v>0</v>
      </c>
      <c r="J102" s="669">
        <v>0</v>
      </c>
      <c r="K102" s="716">
        <f t="shared" si="93"/>
        <v>0</v>
      </c>
      <c r="L102" s="669">
        <v>1</v>
      </c>
      <c r="M102" s="716">
        <f t="shared" si="94"/>
        <v>0.2</v>
      </c>
      <c r="N102" s="669">
        <v>2</v>
      </c>
      <c r="O102" s="717">
        <f t="shared" si="95"/>
        <v>0.6</v>
      </c>
      <c r="P102" s="669">
        <v>1</v>
      </c>
      <c r="Q102" s="717">
        <f t="shared" si="96"/>
        <v>0.8</v>
      </c>
      <c r="R102" s="669">
        <v>1</v>
      </c>
      <c r="S102" s="717">
        <f t="shared" si="97"/>
        <v>1</v>
      </c>
      <c r="T102" s="669">
        <v>0</v>
      </c>
      <c r="U102" s="717">
        <f t="shared" si="98"/>
        <v>1</v>
      </c>
      <c r="V102" s="669">
        <v>0</v>
      </c>
      <c r="W102" s="717">
        <f t="shared" si="99"/>
        <v>0.8</v>
      </c>
      <c r="X102" s="669">
        <v>0</v>
      </c>
      <c r="Y102" s="717">
        <f t="shared" si="100"/>
        <v>0.4</v>
      </c>
      <c r="Z102" s="669">
        <v>0</v>
      </c>
      <c r="AA102" s="717">
        <f t="shared" si="101"/>
        <v>0.2</v>
      </c>
      <c r="AB102" s="669">
        <v>0</v>
      </c>
      <c r="AC102" s="717">
        <f t="shared" si="102"/>
        <v>0</v>
      </c>
      <c r="AD102" s="669">
        <v>0</v>
      </c>
      <c r="AE102" s="717">
        <f t="shared" si="103"/>
        <v>0</v>
      </c>
    </row>
    <row r="103" spans="1:31" ht="18" customHeight="1" x14ac:dyDescent="0.3">
      <c r="A103" s="684" t="s">
        <v>732</v>
      </c>
      <c r="B103" s="669">
        <v>0</v>
      </c>
      <c r="C103" s="669">
        <v>0</v>
      </c>
      <c r="D103" s="669">
        <v>0</v>
      </c>
      <c r="E103" s="669">
        <v>0</v>
      </c>
      <c r="F103" s="669">
        <v>3</v>
      </c>
      <c r="G103" s="716">
        <f t="shared" si="91"/>
        <v>0.6</v>
      </c>
      <c r="H103" s="669">
        <v>4</v>
      </c>
      <c r="I103" s="716">
        <f t="shared" si="92"/>
        <v>1.4</v>
      </c>
      <c r="J103" s="669">
        <v>2</v>
      </c>
      <c r="K103" s="716">
        <f t="shared" si="93"/>
        <v>1.8</v>
      </c>
      <c r="L103" s="669">
        <v>4</v>
      </c>
      <c r="M103" s="716">
        <f t="shared" si="94"/>
        <v>2.6</v>
      </c>
      <c r="N103" s="669">
        <v>2</v>
      </c>
      <c r="O103" s="717">
        <f t="shared" si="95"/>
        <v>3</v>
      </c>
      <c r="P103" s="669">
        <v>3</v>
      </c>
      <c r="Q103" s="717">
        <f t="shared" si="96"/>
        <v>3</v>
      </c>
      <c r="R103" s="669">
        <v>3</v>
      </c>
      <c r="S103" s="717">
        <f t="shared" si="97"/>
        <v>2.8</v>
      </c>
      <c r="T103" s="669">
        <v>1</v>
      </c>
      <c r="U103" s="717">
        <f t="shared" si="98"/>
        <v>2.6</v>
      </c>
      <c r="V103" s="669">
        <v>4</v>
      </c>
      <c r="W103" s="717">
        <f t="shared" si="99"/>
        <v>2.6</v>
      </c>
      <c r="X103" s="669">
        <v>4</v>
      </c>
      <c r="Y103" s="717">
        <f t="shared" si="100"/>
        <v>3</v>
      </c>
      <c r="Z103" s="669">
        <v>1</v>
      </c>
      <c r="AA103" s="717">
        <f t="shared" si="101"/>
        <v>2.6</v>
      </c>
      <c r="AB103" s="669">
        <v>1</v>
      </c>
      <c r="AC103" s="717">
        <f t="shared" si="102"/>
        <v>2.2000000000000002</v>
      </c>
      <c r="AD103" s="669">
        <v>1</v>
      </c>
      <c r="AE103" s="717">
        <f t="shared" si="103"/>
        <v>2.2000000000000002</v>
      </c>
    </row>
    <row r="104" spans="1:31" ht="18" customHeight="1" x14ac:dyDescent="0.3">
      <c r="A104" s="684" t="s">
        <v>514</v>
      </c>
      <c r="B104" s="669">
        <v>0</v>
      </c>
      <c r="C104" s="669">
        <v>0</v>
      </c>
      <c r="D104" s="669">
        <v>0</v>
      </c>
      <c r="E104" s="669">
        <v>0</v>
      </c>
      <c r="F104" s="669">
        <v>0</v>
      </c>
      <c r="G104" s="716">
        <f t="shared" si="91"/>
        <v>0</v>
      </c>
      <c r="H104" s="669">
        <v>0</v>
      </c>
      <c r="I104" s="716">
        <f t="shared" si="92"/>
        <v>0</v>
      </c>
      <c r="J104" s="669">
        <v>0</v>
      </c>
      <c r="K104" s="716">
        <f t="shared" si="93"/>
        <v>0</v>
      </c>
      <c r="L104" s="669">
        <v>1</v>
      </c>
      <c r="M104" s="716">
        <f t="shared" si="94"/>
        <v>0.2</v>
      </c>
      <c r="N104" s="669">
        <v>2</v>
      </c>
      <c r="O104" s="717">
        <f t="shared" si="95"/>
        <v>0.6</v>
      </c>
      <c r="P104" s="669">
        <v>1</v>
      </c>
      <c r="Q104" s="717">
        <f t="shared" si="96"/>
        <v>0.8</v>
      </c>
      <c r="R104" s="669">
        <v>4</v>
      </c>
      <c r="S104" s="717">
        <f t="shared" si="97"/>
        <v>1.6</v>
      </c>
      <c r="T104" s="669">
        <v>0</v>
      </c>
      <c r="U104" s="717">
        <f t="shared" si="98"/>
        <v>1.6</v>
      </c>
      <c r="V104" s="669">
        <v>0</v>
      </c>
      <c r="W104" s="717">
        <f t="shared" si="99"/>
        <v>1.4</v>
      </c>
      <c r="X104" s="669">
        <v>1</v>
      </c>
      <c r="Y104" s="717">
        <f t="shared" si="100"/>
        <v>1.2</v>
      </c>
      <c r="Z104" s="669">
        <v>3</v>
      </c>
      <c r="AA104" s="717">
        <f t="shared" si="101"/>
        <v>1.6</v>
      </c>
      <c r="AB104" s="669">
        <v>0</v>
      </c>
      <c r="AC104" s="717">
        <f t="shared" si="102"/>
        <v>0.8</v>
      </c>
      <c r="AD104" s="669">
        <v>0</v>
      </c>
      <c r="AE104" s="717">
        <f t="shared" si="103"/>
        <v>0.8</v>
      </c>
    </row>
    <row r="105" spans="1:31" ht="18" customHeight="1" x14ac:dyDescent="0.3">
      <c r="A105" s="684" t="s">
        <v>1053</v>
      </c>
      <c r="B105" s="669">
        <v>32</v>
      </c>
      <c r="C105" s="669">
        <v>27</v>
      </c>
      <c r="D105" s="669">
        <v>40</v>
      </c>
      <c r="E105" s="669">
        <v>28</v>
      </c>
      <c r="F105" s="669">
        <v>7</v>
      </c>
      <c r="G105" s="716">
        <f t="shared" si="91"/>
        <v>26.8</v>
      </c>
      <c r="H105" s="669">
        <v>7</v>
      </c>
      <c r="I105" s="716">
        <f t="shared" si="92"/>
        <v>21.8</v>
      </c>
      <c r="J105" s="669">
        <v>6</v>
      </c>
      <c r="K105" s="716">
        <f t="shared" si="93"/>
        <v>17.600000000000001</v>
      </c>
      <c r="L105" s="669">
        <v>8</v>
      </c>
      <c r="M105" s="716">
        <f t="shared" si="94"/>
        <v>11.2</v>
      </c>
      <c r="N105" s="674">
        <v>24</v>
      </c>
      <c r="O105" s="717">
        <f t="shared" si="95"/>
        <v>10.4</v>
      </c>
      <c r="P105" s="674">
        <v>13</v>
      </c>
      <c r="Q105" s="717">
        <f t="shared" si="96"/>
        <v>11.6</v>
      </c>
      <c r="R105" s="674">
        <v>26</v>
      </c>
      <c r="S105" s="717">
        <f t="shared" si="97"/>
        <v>15.4</v>
      </c>
      <c r="T105" s="674">
        <v>12</v>
      </c>
      <c r="U105" s="717">
        <f t="shared" si="98"/>
        <v>16.600000000000001</v>
      </c>
      <c r="V105" s="674">
        <v>13</v>
      </c>
      <c r="W105" s="717">
        <f t="shared" si="99"/>
        <v>17.600000000000001</v>
      </c>
      <c r="X105" s="674">
        <v>8</v>
      </c>
      <c r="Y105" s="717">
        <f t="shared" si="100"/>
        <v>14.4</v>
      </c>
      <c r="Z105" s="674">
        <v>11</v>
      </c>
      <c r="AA105" s="717">
        <f t="shared" si="101"/>
        <v>14</v>
      </c>
      <c r="AB105" s="674">
        <v>10</v>
      </c>
      <c r="AC105" s="717">
        <f t="shared" si="102"/>
        <v>10.8</v>
      </c>
      <c r="AD105" s="674">
        <v>14</v>
      </c>
      <c r="AE105" s="717">
        <f t="shared" si="103"/>
        <v>11.2</v>
      </c>
    </row>
    <row r="106" spans="1:31" ht="18" customHeight="1" x14ac:dyDescent="0.3">
      <c r="A106" s="684" t="s">
        <v>594</v>
      </c>
      <c r="B106" s="669">
        <v>0</v>
      </c>
      <c r="C106" s="669">
        <v>0</v>
      </c>
      <c r="D106" s="669">
        <v>0</v>
      </c>
      <c r="E106" s="669">
        <v>0</v>
      </c>
      <c r="F106" s="669">
        <v>0</v>
      </c>
      <c r="G106" s="716">
        <f t="shared" si="91"/>
        <v>0</v>
      </c>
      <c r="H106" s="669">
        <v>2</v>
      </c>
      <c r="I106" s="716">
        <f t="shared" si="92"/>
        <v>0.4</v>
      </c>
      <c r="J106" s="669">
        <v>4</v>
      </c>
      <c r="K106" s="716">
        <f t="shared" si="93"/>
        <v>1.2</v>
      </c>
      <c r="L106" s="669">
        <v>1</v>
      </c>
      <c r="M106" s="716">
        <f t="shared" si="94"/>
        <v>1.4</v>
      </c>
      <c r="N106" s="669">
        <v>4</v>
      </c>
      <c r="O106" s="717">
        <f t="shared" si="95"/>
        <v>2.2000000000000002</v>
      </c>
      <c r="P106" s="669">
        <v>0</v>
      </c>
      <c r="Q106" s="717">
        <f t="shared" si="96"/>
        <v>2.2000000000000002</v>
      </c>
      <c r="R106" s="669">
        <v>1</v>
      </c>
      <c r="S106" s="717">
        <f t="shared" si="97"/>
        <v>2</v>
      </c>
      <c r="T106" s="669">
        <v>2</v>
      </c>
      <c r="U106" s="717">
        <f t="shared" si="98"/>
        <v>1.6</v>
      </c>
      <c r="V106" s="669">
        <v>4</v>
      </c>
      <c r="W106" s="717">
        <f t="shared" si="99"/>
        <v>2.2000000000000002</v>
      </c>
      <c r="X106" s="669">
        <v>1</v>
      </c>
      <c r="Y106" s="717">
        <f t="shared" si="100"/>
        <v>1.6</v>
      </c>
      <c r="Z106" s="669">
        <v>3</v>
      </c>
      <c r="AA106" s="717">
        <f t="shared" si="101"/>
        <v>2.2000000000000002</v>
      </c>
      <c r="AB106" s="669">
        <v>0</v>
      </c>
      <c r="AC106" s="717">
        <f t="shared" si="102"/>
        <v>2</v>
      </c>
      <c r="AD106" s="669">
        <v>0</v>
      </c>
      <c r="AE106" s="717">
        <f t="shared" si="103"/>
        <v>1.6</v>
      </c>
    </row>
    <row r="107" spans="1:31" ht="18" customHeight="1" x14ac:dyDescent="0.3">
      <c r="A107" s="684" t="s">
        <v>1055</v>
      </c>
      <c r="B107" s="669">
        <v>0</v>
      </c>
      <c r="C107" s="669">
        <v>0</v>
      </c>
      <c r="D107" s="669">
        <v>0</v>
      </c>
      <c r="E107" s="669">
        <v>0</v>
      </c>
      <c r="F107" s="669">
        <v>8</v>
      </c>
      <c r="G107" s="716">
        <f t="shared" si="91"/>
        <v>1.6</v>
      </c>
      <c r="H107" s="669">
        <v>6</v>
      </c>
      <c r="I107" s="716">
        <f t="shared" si="92"/>
        <v>2.8</v>
      </c>
      <c r="J107" s="669">
        <v>11</v>
      </c>
      <c r="K107" s="716">
        <f t="shared" si="93"/>
        <v>5</v>
      </c>
      <c r="L107" s="669">
        <v>6</v>
      </c>
      <c r="M107" s="716">
        <f t="shared" si="94"/>
        <v>6.2</v>
      </c>
      <c r="N107" s="669">
        <v>6</v>
      </c>
      <c r="O107" s="717">
        <f t="shared" si="95"/>
        <v>7.4</v>
      </c>
      <c r="P107" s="669">
        <v>9</v>
      </c>
      <c r="Q107" s="717">
        <f t="shared" si="96"/>
        <v>7.6</v>
      </c>
      <c r="R107" s="669">
        <v>11</v>
      </c>
      <c r="S107" s="717">
        <f t="shared" si="97"/>
        <v>8.6</v>
      </c>
      <c r="T107" s="669">
        <v>7</v>
      </c>
      <c r="U107" s="717">
        <f t="shared" si="98"/>
        <v>7.8</v>
      </c>
      <c r="V107" s="669">
        <v>16</v>
      </c>
      <c r="W107" s="717">
        <f t="shared" si="99"/>
        <v>9.8000000000000007</v>
      </c>
      <c r="X107" s="669">
        <v>20</v>
      </c>
      <c r="Y107" s="717">
        <f t="shared" si="100"/>
        <v>12.6</v>
      </c>
      <c r="Z107" s="669">
        <v>14</v>
      </c>
      <c r="AA107" s="717">
        <f t="shared" si="101"/>
        <v>13.6</v>
      </c>
      <c r="AB107" s="669">
        <v>13</v>
      </c>
      <c r="AC107" s="717">
        <f t="shared" si="102"/>
        <v>14</v>
      </c>
      <c r="AD107" s="669">
        <v>17</v>
      </c>
      <c r="AE107" s="717">
        <f t="shared" si="103"/>
        <v>16</v>
      </c>
    </row>
    <row r="108" spans="1:31" ht="18" customHeight="1" x14ac:dyDescent="0.3">
      <c r="A108" s="684" t="s">
        <v>510</v>
      </c>
      <c r="B108" s="669">
        <v>0</v>
      </c>
      <c r="C108" s="669">
        <v>0</v>
      </c>
      <c r="D108" s="669">
        <v>0</v>
      </c>
      <c r="E108" s="669">
        <v>0</v>
      </c>
      <c r="F108" s="669">
        <v>5</v>
      </c>
      <c r="G108" s="716">
        <f t="shared" si="91"/>
        <v>1</v>
      </c>
      <c r="H108" s="669">
        <v>2</v>
      </c>
      <c r="I108" s="716">
        <f t="shared" si="92"/>
        <v>1.4</v>
      </c>
      <c r="J108" s="669">
        <v>2</v>
      </c>
      <c r="K108" s="716">
        <f t="shared" si="93"/>
        <v>1.8</v>
      </c>
      <c r="L108" s="669">
        <v>1</v>
      </c>
      <c r="M108" s="716">
        <f t="shared" si="94"/>
        <v>2</v>
      </c>
      <c r="N108" s="669">
        <v>4</v>
      </c>
      <c r="O108" s="717">
        <f t="shared" si="95"/>
        <v>2.8</v>
      </c>
      <c r="P108" s="669">
        <v>0</v>
      </c>
      <c r="Q108" s="717">
        <f t="shared" si="96"/>
        <v>1.8</v>
      </c>
      <c r="R108" s="669">
        <v>5</v>
      </c>
      <c r="S108" s="717">
        <f t="shared" si="97"/>
        <v>2.4</v>
      </c>
      <c r="T108" s="669">
        <v>2</v>
      </c>
      <c r="U108" s="717">
        <f t="shared" si="98"/>
        <v>2.4</v>
      </c>
      <c r="V108" s="669">
        <v>3</v>
      </c>
      <c r="W108" s="717">
        <f t="shared" si="99"/>
        <v>2.8</v>
      </c>
      <c r="X108" s="669">
        <v>2</v>
      </c>
      <c r="Y108" s="717">
        <f t="shared" si="100"/>
        <v>2.4</v>
      </c>
      <c r="Z108" s="669">
        <v>3</v>
      </c>
      <c r="AA108" s="717">
        <f t="shared" si="101"/>
        <v>3</v>
      </c>
      <c r="AB108" s="669">
        <v>0</v>
      </c>
      <c r="AC108" s="717">
        <f t="shared" si="102"/>
        <v>2</v>
      </c>
      <c r="AD108" s="669">
        <v>0</v>
      </c>
      <c r="AE108" s="717">
        <f t="shared" si="103"/>
        <v>1.6</v>
      </c>
    </row>
    <row r="109" spans="1:31" ht="18" customHeight="1" x14ac:dyDescent="0.3">
      <c r="A109" s="864" t="s">
        <v>961</v>
      </c>
      <c r="B109" s="715">
        <f>SUM(B98:B108)</f>
        <v>42</v>
      </c>
      <c r="C109" s="715">
        <f>SUM(C98:C108)</f>
        <v>38</v>
      </c>
      <c r="D109" s="715">
        <f>SUM(D98:D108)</f>
        <v>51</v>
      </c>
      <c r="E109" s="715">
        <f>SUM(E98:E108)</f>
        <v>34</v>
      </c>
      <c r="F109" s="715">
        <f>SUM(F98:F108)</f>
        <v>32</v>
      </c>
      <c r="G109" s="716">
        <f t="shared" si="91"/>
        <v>39.4</v>
      </c>
      <c r="H109" s="715">
        <f>SUM(H98:H108)</f>
        <v>34</v>
      </c>
      <c r="I109" s="716">
        <f t="shared" si="92"/>
        <v>37.799999999999997</v>
      </c>
      <c r="J109" s="715">
        <f>SUM(J98:J108)</f>
        <v>36</v>
      </c>
      <c r="K109" s="716">
        <f t="shared" si="93"/>
        <v>37.4</v>
      </c>
      <c r="L109" s="715">
        <f>SUM(L98:L108)</f>
        <v>34</v>
      </c>
      <c r="M109" s="716">
        <f t="shared" si="94"/>
        <v>34</v>
      </c>
      <c r="N109" s="715">
        <f>SUM(N98:N108)</f>
        <v>55</v>
      </c>
      <c r="O109" s="717">
        <f t="shared" si="95"/>
        <v>38.200000000000003</v>
      </c>
      <c r="P109" s="715">
        <f>SUM(P98:P108)</f>
        <v>39</v>
      </c>
      <c r="Q109" s="717">
        <f t="shared" si="96"/>
        <v>39.6</v>
      </c>
      <c r="R109" s="715">
        <f>SUM(R98:R108)</f>
        <v>64</v>
      </c>
      <c r="S109" s="717">
        <f t="shared" si="97"/>
        <v>45.6</v>
      </c>
      <c r="T109" s="715">
        <f>SUM(T98:T108)</f>
        <v>50</v>
      </c>
      <c r="U109" s="717">
        <f t="shared" si="98"/>
        <v>48.4</v>
      </c>
      <c r="V109" s="715">
        <f>SUM(V98:V108)</f>
        <v>66</v>
      </c>
      <c r="W109" s="717">
        <f t="shared" si="99"/>
        <v>54.8</v>
      </c>
      <c r="X109" s="715">
        <f>SUM(X98:X108)</f>
        <v>55</v>
      </c>
      <c r="Y109" s="717">
        <f t="shared" si="100"/>
        <v>54.8</v>
      </c>
      <c r="Z109" s="715">
        <f>SUM(Z98:Z108)</f>
        <v>46</v>
      </c>
      <c r="AA109" s="717">
        <f t="shared" si="101"/>
        <v>56.2</v>
      </c>
      <c r="AB109" s="715">
        <f>SUM(AB98:AB108)</f>
        <v>33</v>
      </c>
      <c r="AC109" s="717">
        <f t="shared" si="102"/>
        <v>50</v>
      </c>
      <c r="AD109" s="715">
        <f>SUM(AD98:AD108)</f>
        <v>47</v>
      </c>
      <c r="AE109" s="717">
        <f t="shared" si="103"/>
        <v>49.4</v>
      </c>
    </row>
    <row r="110" spans="1:31" ht="18" customHeight="1" thickBot="1" x14ac:dyDescent="0.35">
      <c r="A110" s="682" t="s">
        <v>422</v>
      </c>
      <c r="B110" s="670">
        <f>+B109+B96</f>
        <v>141</v>
      </c>
      <c r="C110" s="670">
        <f>+C109+C96</f>
        <v>149</v>
      </c>
      <c r="D110" s="670">
        <f>+D109+D96</f>
        <v>152</v>
      </c>
      <c r="E110" s="670">
        <f>+E109+E96</f>
        <v>153</v>
      </c>
      <c r="F110" s="670">
        <f>+F109+F96</f>
        <v>146</v>
      </c>
      <c r="G110" s="724">
        <f t="shared" si="91"/>
        <v>148.19999999999999</v>
      </c>
      <c r="H110" s="670">
        <f>+H109+H96</f>
        <v>158</v>
      </c>
      <c r="I110" s="724">
        <f t="shared" si="92"/>
        <v>151.6</v>
      </c>
      <c r="J110" s="670">
        <f>+J109+J96</f>
        <v>137</v>
      </c>
      <c r="K110" s="724">
        <f t="shared" si="93"/>
        <v>149.19999999999999</v>
      </c>
      <c r="L110" s="670">
        <f>+L109+L96</f>
        <v>163</v>
      </c>
      <c r="M110" s="725">
        <f t="shared" si="94"/>
        <v>151.4</v>
      </c>
      <c r="N110" s="726">
        <f>+N109+N96</f>
        <v>166</v>
      </c>
      <c r="O110" s="727">
        <f t="shared" si="95"/>
        <v>154</v>
      </c>
      <c r="P110" s="726">
        <f>+P109+P96</f>
        <v>145</v>
      </c>
      <c r="Q110" s="717">
        <f t="shared" si="96"/>
        <v>153.80000000000001</v>
      </c>
      <c r="R110" s="726">
        <f>+R109+R96</f>
        <v>177</v>
      </c>
      <c r="S110" s="717">
        <f t="shared" si="97"/>
        <v>157.6</v>
      </c>
      <c r="T110" s="726">
        <f>+T109+T96</f>
        <v>152</v>
      </c>
      <c r="U110" s="717">
        <f t="shared" si="98"/>
        <v>160.6</v>
      </c>
      <c r="V110" s="726">
        <f>+V109+V96</f>
        <v>157</v>
      </c>
      <c r="W110" s="717">
        <f t="shared" si="99"/>
        <v>159.4</v>
      </c>
      <c r="X110" s="726">
        <f>+X109+X96</f>
        <v>164</v>
      </c>
      <c r="Y110" s="717">
        <f t="shared" si="100"/>
        <v>159</v>
      </c>
      <c r="Z110" s="726">
        <f>+Z109+Z96</f>
        <v>146</v>
      </c>
      <c r="AA110" s="717">
        <f t="shared" si="101"/>
        <v>159.19999999999999</v>
      </c>
      <c r="AB110" s="726">
        <f>+AB109+AB96</f>
        <v>149</v>
      </c>
      <c r="AC110" s="717">
        <f t="shared" si="102"/>
        <v>153.6</v>
      </c>
      <c r="AD110" s="726">
        <f>+AD109+AD96</f>
        <v>157</v>
      </c>
      <c r="AE110" s="717">
        <f t="shared" si="103"/>
        <v>154.6</v>
      </c>
    </row>
    <row r="111" spans="1:31" ht="18" customHeight="1" thickBot="1" x14ac:dyDescent="0.35">
      <c r="A111" s="999" t="s">
        <v>949</v>
      </c>
      <c r="B111" s="1000">
        <f>B110+B85+B56+B29</f>
        <v>432</v>
      </c>
      <c r="C111" s="1000">
        <f>C110+C85+C56+C29</f>
        <v>462</v>
      </c>
      <c r="D111" s="1000">
        <f>D110+D85+D56+D29</f>
        <v>440</v>
      </c>
      <c r="E111" s="1000">
        <f>E110+E85+E56+E29</f>
        <v>415</v>
      </c>
      <c r="F111" s="1000">
        <f>F110+F85+F56+F29</f>
        <v>405</v>
      </c>
      <c r="G111" s="1000">
        <f t="shared" si="91"/>
        <v>430.8</v>
      </c>
      <c r="H111" s="1000">
        <f>H110+H85+H56+H29</f>
        <v>422</v>
      </c>
      <c r="I111" s="1000">
        <f t="shared" si="92"/>
        <v>428.8</v>
      </c>
      <c r="J111" s="1000">
        <f>J110+J85+J56+J29</f>
        <v>426</v>
      </c>
      <c r="K111" s="1000">
        <f t="shared" si="93"/>
        <v>421.6</v>
      </c>
      <c r="L111" s="1000">
        <f>L110+L85+L56+L29</f>
        <v>473</v>
      </c>
      <c r="M111" s="1000">
        <f t="shared" si="94"/>
        <v>428.2</v>
      </c>
      <c r="N111" s="1000">
        <f>N110+N85+N56+N29</f>
        <v>492</v>
      </c>
      <c r="O111" s="1001">
        <f t="shared" si="95"/>
        <v>443.6</v>
      </c>
      <c r="P111" s="1000">
        <f>P110+P85+P56+P29</f>
        <v>477</v>
      </c>
      <c r="Q111" s="1000">
        <f t="shared" si="96"/>
        <v>458</v>
      </c>
      <c r="R111" s="1000">
        <f>R110+R85+R56+R29</f>
        <v>485</v>
      </c>
      <c r="S111" s="1002">
        <f t="shared" si="97"/>
        <v>470.6</v>
      </c>
      <c r="T111" s="1000">
        <f>T110+T85+T56+T29</f>
        <v>419</v>
      </c>
      <c r="U111" s="1002">
        <f t="shared" si="98"/>
        <v>469.2</v>
      </c>
      <c r="V111" s="1000">
        <f>V110+V85+V56+V29</f>
        <v>475</v>
      </c>
      <c r="W111" s="1002">
        <f t="shared" si="99"/>
        <v>469.6</v>
      </c>
      <c r="X111" s="1000">
        <f>X110+X85+X56+X29</f>
        <v>481</v>
      </c>
      <c r="Y111" s="1002">
        <f t="shared" si="100"/>
        <v>467.4</v>
      </c>
      <c r="Z111" s="1000">
        <f>Z110+Z85+Z56+Z29</f>
        <v>447</v>
      </c>
      <c r="AA111" s="1002">
        <f t="shared" si="101"/>
        <v>461.4</v>
      </c>
      <c r="AB111" s="1000">
        <f>AB110+AB85+AB56+AB29</f>
        <v>472</v>
      </c>
      <c r="AC111" s="1002">
        <f t="shared" si="102"/>
        <v>458.8</v>
      </c>
      <c r="AD111" s="1000">
        <f>AD110+AD85+AD56+AD29</f>
        <v>497</v>
      </c>
      <c r="AE111" s="1002">
        <f t="shared" si="103"/>
        <v>474.4</v>
      </c>
    </row>
    <row r="112" spans="1:31" ht="18" customHeight="1" x14ac:dyDescent="0.25">
      <c r="A112" s="560"/>
      <c r="B112" s="560"/>
      <c r="C112" s="560"/>
      <c r="D112" s="560"/>
      <c r="E112" s="560"/>
      <c r="F112" s="560"/>
      <c r="G112" s="561"/>
      <c r="H112" s="561"/>
      <c r="I112" s="561"/>
      <c r="J112" s="561"/>
      <c r="K112" s="561"/>
      <c r="L112" s="561"/>
      <c r="M112" s="561"/>
      <c r="N112" s="561"/>
      <c r="O112" s="561"/>
    </row>
  </sheetData>
  <mergeCells count="6">
    <mergeCell ref="A86:AE86"/>
    <mergeCell ref="A1:AE1"/>
    <mergeCell ref="A2:AE2"/>
    <mergeCell ref="A3:AE3"/>
    <mergeCell ref="A30:AE30"/>
    <mergeCell ref="A57:AE57"/>
  </mergeCells>
  <printOptions horizontalCentered="1" verticalCentered="1"/>
  <pageMargins left="0.2" right="0.2" top="0.3" bottom="0.4" header="0" footer="0.15"/>
  <pageSetup paperSize="5" scale="51" orientation="landscape" r:id="rId1"/>
  <headerFooter alignWithMargins="0">
    <oddFooter>&amp;LSource: Office of Institutional Research</oddFooter>
  </headerFooter>
  <rowBreaks count="1" manualBreakCount="1">
    <brk id="56" max="16383" man="1"/>
  </rowBreaks>
  <legacy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workbookViewId="0">
      <selection sqref="A1:K1"/>
    </sheetView>
  </sheetViews>
  <sheetFormatPr defaultRowHeight="13.2" x14ac:dyDescent="0.25"/>
  <cols>
    <col min="1" max="1" width="51.44140625" customWidth="1"/>
    <col min="2" max="6" width="12.44140625" hidden="1" customWidth="1"/>
    <col min="7" max="9" width="12.44140625" customWidth="1"/>
    <col min="10" max="10" width="12.5546875" customWidth="1"/>
    <col min="11" max="11" width="12.6640625" customWidth="1"/>
  </cols>
  <sheetData>
    <row r="1" spans="1:11" ht="19.2" x14ac:dyDescent="0.35">
      <c r="A1" s="1755" t="s">
        <v>477</v>
      </c>
      <c r="B1" s="1755"/>
      <c r="C1" s="1755"/>
      <c r="D1" s="1755"/>
      <c r="E1" s="1755"/>
      <c r="F1" s="1755"/>
      <c r="G1" s="1755"/>
      <c r="H1" s="1755"/>
      <c r="I1" s="1755"/>
      <c r="J1" s="1755"/>
      <c r="K1" s="1755"/>
    </row>
    <row r="2" spans="1:11" ht="19.2" x14ac:dyDescent="0.35">
      <c r="A2" s="1762"/>
      <c r="B2" s="1762"/>
      <c r="C2" s="1762"/>
      <c r="D2" s="1762"/>
      <c r="E2" s="1762"/>
      <c r="F2" s="1762"/>
    </row>
    <row r="3" spans="1:11" ht="17.399999999999999" x14ac:dyDescent="0.3">
      <c r="A3" s="1786"/>
      <c r="B3" s="1786"/>
      <c r="C3" s="1786"/>
      <c r="D3" s="1786"/>
      <c r="E3" s="1786"/>
      <c r="F3" s="1786"/>
      <c r="G3" s="1786"/>
      <c r="H3" s="1786"/>
      <c r="I3" s="1786"/>
      <c r="J3" s="1786"/>
      <c r="K3" s="1786"/>
    </row>
    <row r="4" spans="1:11" ht="16.8" x14ac:dyDescent="0.3">
      <c r="A4" s="675" t="s">
        <v>485</v>
      </c>
      <c r="B4" s="1420" t="s">
        <v>1052</v>
      </c>
      <c r="C4" s="1420" t="s">
        <v>274</v>
      </c>
      <c r="D4" s="1420" t="s">
        <v>1261</v>
      </c>
      <c r="E4" s="1420" t="s">
        <v>363</v>
      </c>
      <c r="F4" s="1420" t="s">
        <v>583</v>
      </c>
      <c r="G4" s="1420" t="s">
        <v>1363</v>
      </c>
      <c r="H4" s="1420" t="s">
        <v>1388</v>
      </c>
      <c r="I4" s="1420" t="s">
        <v>1389</v>
      </c>
      <c r="J4" s="676" t="s">
        <v>1377</v>
      </c>
      <c r="K4" s="676" t="s">
        <v>1503</v>
      </c>
    </row>
    <row r="5" spans="1:11" ht="16.8" x14ac:dyDescent="0.3">
      <c r="A5" s="678" t="s">
        <v>478</v>
      </c>
      <c r="B5" s="669">
        <v>0</v>
      </c>
      <c r="C5" s="669">
        <v>1</v>
      </c>
      <c r="D5" s="669">
        <v>1</v>
      </c>
      <c r="E5" s="669">
        <v>3</v>
      </c>
      <c r="F5" s="669">
        <v>0</v>
      </c>
      <c r="G5" s="669">
        <v>1</v>
      </c>
      <c r="H5" s="669">
        <v>2</v>
      </c>
      <c r="I5" s="669">
        <v>2</v>
      </c>
      <c r="J5" s="1312">
        <v>3</v>
      </c>
      <c r="K5" s="1312">
        <v>1</v>
      </c>
    </row>
    <row r="6" spans="1:11" ht="16.8" x14ac:dyDescent="0.3">
      <c r="A6" s="678" t="s">
        <v>479</v>
      </c>
      <c r="B6" s="669">
        <v>2</v>
      </c>
      <c r="C6" s="669">
        <v>5</v>
      </c>
      <c r="D6" s="669">
        <v>1</v>
      </c>
      <c r="E6" s="669">
        <v>3</v>
      </c>
      <c r="F6" s="669">
        <v>2</v>
      </c>
      <c r="G6" s="669">
        <v>2</v>
      </c>
      <c r="H6" s="669">
        <v>0</v>
      </c>
      <c r="I6" s="669">
        <v>3</v>
      </c>
      <c r="J6" s="1312">
        <v>3</v>
      </c>
      <c r="K6" s="1312">
        <v>4</v>
      </c>
    </row>
    <row r="7" spans="1:11" ht="16.8" x14ac:dyDescent="0.3">
      <c r="A7" s="678" t="s">
        <v>480</v>
      </c>
      <c r="B7" s="669">
        <v>0</v>
      </c>
      <c r="C7" s="669">
        <v>4</v>
      </c>
      <c r="D7" s="669">
        <v>3</v>
      </c>
      <c r="E7" s="669">
        <v>1</v>
      </c>
      <c r="F7" s="669">
        <v>3</v>
      </c>
      <c r="G7" s="669">
        <v>1</v>
      </c>
      <c r="H7" s="669">
        <v>2</v>
      </c>
      <c r="I7" s="669">
        <v>2</v>
      </c>
      <c r="J7" s="1312">
        <v>1</v>
      </c>
      <c r="K7" s="1312">
        <v>2</v>
      </c>
    </row>
    <row r="8" spans="1:11" ht="16.8" x14ac:dyDescent="0.3">
      <c r="A8" s="678" t="s">
        <v>481</v>
      </c>
      <c r="B8" s="669">
        <v>2</v>
      </c>
      <c r="C8" s="669">
        <v>8</v>
      </c>
      <c r="D8" s="669">
        <v>4</v>
      </c>
      <c r="E8" s="669">
        <v>2</v>
      </c>
      <c r="F8" s="669">
        <v>0</v>
      </c>
      <c r="G8" s="669">
        <v>3</v>
      </c>
      <c r="H8" s="669">
        <v>3</v>
      </c>
      <c r="I8" s="669">
        <v>2</v>
      </c>
      <c r="J8" s="1312">
        <v>2</v>
      </c>
      <c r="K8" s="1312">
        <v>2</v>
      </c>
    </row>
    <row r="9" spans="1:11" ht="16.8" x14ac:dyDescent="0.3">
      <c r="A9" s="678" t="s">
        <v>482</v>
      </c>
      <c r="B9" s="669">
        <v>0</v>
      </c>
      <c r="C9" s="669">
        <v>0</v>
      </c>
      <c r="D9" s="669">
        <v>1</v>
      </c>
      <c r="E9" s="669">
        <v>0</v>
      </c>
      <c r="F9" s="669">
        <v>0</v>
      </c>
      <c r="G9" s="669">
        <v>0</v>
      </c>
      <c r="H9" s="669">
        <v>0</v>
      </c>
      <c r="I9" s="669">
        <v>0</v>
      </c>
      <c r="J9" s="1312">
        <v>0</v>
      </c>
      <c r="K9" s="1312">
        <v>0</v>
      </c>
    </row>
    <row r="10" spans="1:11" ht="16.8" x14ac:dyDescent="0.3">
      <c r="A10" s="678" t="s">
        <v>483</v>
      </c>
      <c r="B10" s="669">
        <v>0</v>
      </c>
      <c r="C10" s="669">
        <v>1</v>
      </c>
      <c r="D10" s="669">
        <v>0</v>
      </c>
      <c r="E10" s="669">
        <v>0</v>
      </c>
      <c r="F10" s="669">
        <v>2</v>
      </c>
      <c r="G10" s="669">
        <v>0</v>
      </c>
      <c r="H10" s="669">
        <v>0</v>
      </c>
      <c r="I10" s="669">
        <v>0</v>
      </c>
      <c r="J10" s="1312">
        <v>0</v>
      </c>
      <c r="K10" s="1312">
        <v>0</v>
      </c>
    </row>
    <row r="11" spans="1:11" ht="16.8" x14ac:dyDescent="0.3">
      <c r="A11" s="678" t="s">
        <v>484</v>
      </c>
      <c r="B11" s="669">
        <v>3</v>
      </c>
      <c r="C11" s="669">
        <v>4</v>
      </c>
      <c r="D11" s="669">
        <v>2</v>
      </c>
      <c r="E11" s="669">
        <v>0</v>
      </c>
      <c r="F11" s="669">
        <v>1</v>
      </c>
      <c r="G11" s="669">
        <v>0</v>
      </c>
      <c r="H11" s="669">
        <v>1</v>
      </c>
      <c r="I11" s="669">
        <v>0</v>
      </c>
      <c r="J11" s="1312">
        <v>0</v>
      </c>
      <c r="K11" s="1312">
        <v>0</v>
      </c>
    </row>
    <row r="12" spans="1:11" ht="17.399999999999999" thickBot="1" x14ac:dyDescent="0.35">
      <c r="A12" s="897" t="s">
        <v>833</v>
      </c>
      <c r="B12" s="722">
        <f t="shared" ref="B12:I12" si="0">SUM(B5:B11)</f>
        <v>7</v>
      </c>
      <c r="C12" s="722">
        <f t="shared" si="0"/>
        <v>23</v>
      </c>
      <c r="D12" s="722">
        <f t="shared" si="0"/>
        <v>12</v>
      </c>
      <c r="E12" s="722">
        <f t="shared" si="0"/>
        <v>9</v>
      </c>
      <c r="F12" s="722">
        <f t="shared" si="0"/>
        <v>8</v>
      </c>
      <c r="G12" s="722">
        <f t="shared" si="0"/>
        <v>7</v>
      </c>
      <c r="H12" s="722">
        <f t="shared" si="0"/>
        <v>8</v>
      </c>
      <c r="I12" s="722">
        <f t="shared" si="0"/>
        <v>9</v>
      </c>
      <c r="J12" s="1175">
        <f>SUM(J5:J11)</f>
        <v>9</v>
      </c>
      <c r="K12" s="1175">
        <f>SUM(K5:K11)</f>
        <v>9</v>
      </c>
    </row>
    <row r="14" spans="1:11" s="1311" customFormat="1" ht="32.4" customHeight="1" x14ac:dyDescent="0.25">
      <c r="A14" s="1787" t="s">
        <v>1465</v>
      </c>
      <c r="B14" s="1788"/>
      <c r="C14" s="1788"/>
      <c r="D14" s="1788"/>
      <c r="E14" s="1788"/>
      <c r="F14" s="1788"/>
      <c r="G14" s="1788"/>
      <c r="H14" s="1788"/>
      <c r="I14" s="1788"/>
      <c r="J14" s="1788"/>
      <c r="K14" s="1788"/>
    </row>
    <row r="15" spans="1:11" s="1311" customFormat="1" ht="25.5" customHeight="1" x14ac:dyDescent="0.25">
      <c r="A15" s="1784"/>
      <c r="B15" s="1785"/>
      <c r="C15" s="1785"/>
      <c r="D15" s="1785"/>
      <c r="E15" s="1785"/>
      <c r="F15" s="1785"/>
      <c r="G15" s="1785"/>
    </row>
  </sheetData>
  <mergeCells count="5">
    <mergeCell ref="A2:F2"/>
    <mergeCell ref="A15:G15"/>
    <mergeCell ref="A3:K3"/>
    <mergeCell ref="A1:K1"/>
    <mergeCell ref="A14:K14"/>
  </mergeCells>
  <phoneticPr fontId="15" type="noConversion"/>
  <pageMargins left="0.75" right="0.75" top="1" bottom="1" header="0.5" footer="0.5"/>
  <pageSetup scale="83" orientation="portrait" r:id="rId1"/>
  <headerFooter alignWithMargins="0"/>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3">
    <pageSetUpPr fitToPage="1"/>
  </sheetPr>
  <dimension ref="A1:L50"/>
  <sheetViews>
    <sheetView workbookViewId="0">
      <selection sqref="A1:L1"/>
    </sheetView>
  </sheetViews>
  <sheetFormatPr defaultRowHeight="13.2" x14ac:dyDescent="0.25"/>
  <cols>
    <col min="1" max="1" width="32.44140625" customWidth="1"/>
    <col min="2" max="6" width="12.6640625" hidden="1" customWidth="1"/>
    <col min="7" max="7" width="12.88671875" hidden="1" customWidth="1"/>
    <col min="8" max="12" width="12.88671875" customWidth="1"/>
    <col min="13" max="13" width="12.6640625" customWidth="1"/>
  </cols>
  <sheetData>
    <row r="1" spans="1:12" ht="19.2" x14ac:dyDescent="0.35">
      <c r="A1" s="1755" t="s">
        <v>473</v>
      </c>
      <c r="B1" s="1755"/>
      <c r="C1" s="1755"/>
      <c r="D1" s="1755"/>
      <c r="E1" s="1755"/>
      <c r="F1" s="1755"/>
      <c r="G1" s="1755"/>
      <c r="H1" s="1755"/>
      <c r="I1" s="1755"/>
      <c r="J1" s="1755"/>
      <c r="K1" s="1755"/>
      <c r="L1" s="1755"/>
    </row>
    <row r="3" spans="1:12" x14ac:dyDescent="0.25">
      <c r="A3" s="309" t="s">
        <v>474</v>
      </c>
      <c r="B3" s="310" t="s">
        <v>738</v>
      </c>
      <c r="C3" s="310" t="s">
        <v>596</v>
      </c>
      <c r="D3" s="310" t="s">
        <v>1306</v>
      </c>
      <c r="E3" s="310" t="s">
        <v>1052</v>
      </c>
      <c r="F3" s="310" t="s">
        <v>363</v>
      </c>
      <c r="G3" s="310" t="s">
        <v>583</v>
      </c>
      <c r="H3" s="310" t="s">
        <v>1363</v>
      </c>
      <c r="I3" s="310" t="s">
        <v>1388</v>
      </c>
      <c r="J3" s="310" t="s">
        <v>1389</v>
      </c>
      <c r="K3" s="310" t="s">
        <v>1377</v>
      </c>
      <c r="L3" s="310" t="s">
        <v>1503</v>
      </c>
    </row>
    <row r="4" spans="1:12" x14ac:dyDescent="0.25">
      <c r="A4" s="437"/>
      <c r="B4" s="438"/>
      <c r="C4" s="438"/>
      <c r="D4" s="438"/>
      <c r="E4" s="438"/>
      <c r="F4" s="438"/>
      <c r="G4" s="438"/>
      <c r="H4" s="438"/>
      <c r="I4" s="438"/>
      <c r="J4" s="438"/>
      <c r="K4" s="438"/>
      <c r="L4" s="438"/>
    </row>
    <row r="5" spans="1:12" x14ac:dyDescent="0.25">
      <c r="A5" s="809" t="s">
        <v>1123</v>
      </c>
      <c r="B5" s="810">
        <v>0</v>
      </c>
      <c r="C5" s="810">
        <v>0</v>
      </c>
      <c r="D5" s="810">
        <v>0</v>
      </c>
      <c r="E5" s="810">
        <v>0</v>
      </c>
      <c r="F5" s="810">
        <v>0</v>
      </c>
      <c r="G5" s="810">
        <v>1</v>
      </c>
      <c r="H5" s="810">
        <v>3</v>
      </c>
      <c r="I5" s="810">
        <v>2</v>
      </c>
      <c r="J5" s="810">
        <v>3</v>
      </c>
      <c r="K5" s="810">
        <v>2</v>
      </c>
      <c r="L5" s="810">
        <v>0</v>
      </c>
    </row>
    <row r="6" spans="1:12" x14ac:dyDescent="0.25">
      <c r="A6" s="209" t="s">
        <v>1124</v>
      </c>
      <c r="B6" s="210">
        <v>0</v>
      </c>
      <c r="C6" s="210">
        <v>0</v>
      </c>
      <c r="D6" s="210">
        <v>1</v>
      </c>
      <c r="E6" s="210">
        <v>1</v>
      </c>
      <c r="F6" s="210">
        <v>0</v>
      </c>
      <c r="G6" s="210">
        <v>0</v>
      </c>
      <c r="H6" s="210">
        <v>0</v>
      </c>
      <c r="I6" s="210">
        <v>0</v>
      </c>
      <c r="J6" s="210">
        <v>0</v>
      </c>
      <c r="K6" s="210">
        <v>0</v>
      </c>
      <c r="L6" s="210">
        <v>0</v>
      </c>
    </row>
    <row r="7" spans="1:12" x14ac:dyDescent="0.25">
      <c r="A7" s="209" t="s">
        <v>1125</v>
      </c>
      <c r="B7" s="210">
        <v>0</v>
      </c>
      <c r="C7" s="210">
        <v>0</v>
      </c>
      <c r="D7" s="210">
        <v>1</v>
      </c>
      <c r="E7" s="210">
        <v>0</v>
      </c>
      <c r="F7" s="210">
        <v>0</v>
      </c>
      <c r="G7" s="210">
        <v>0</v>
      </c>
      <c r="H7" s="210">
        <v>1</v>
      </c>
      <c r="I7" s="210">
        <v>1</v>
      </c>
      <c r="J7" s="210">
        <v>0</v>
      </c>
      <c r="K7" s="210">
        <v>0</v>
      </c>
      <c r="L7" s="210">
        <v>0</v>
      </c>
    </row>
    <row r="8" spans="1:12" x14ac:dyDescent="0.25">
      <c r="A8" s="209" t="s">
        <v>1057</v>
      </c>
      <c r="B8" s="210">
        <v>11</v>
      </c>
      <c r="C8" s="210">
        <v>2</v>
      </c>
      <c r="D8" s="210">
        <v>9</v>
      </c>
      <c r="E8" s="210">
        <v>7</v>
      </c>
      <c r="F8" s="210">
        <v>3</v>
      </c>
      <c r="G8" s="210">
        <v>4</v>
      </c>
      <c r="H8" s="210">
        <v>1</v>
      </c>
      <c r="I8" s="210">
        <v>4</v>
      </c>
      <c r="J8" s="210">
        <v>0</v>
      </c>
      <c r="K8" s="210">
        <v>2</v>
      </c>
      <c r="L8" s="210">
        <v>1</v>
      </c>
    </row>
    <row r="9" spans="1:12" x14ac:dyDescent="0.25">
      <c r="A9" s="209" t="s">
        <v>1126</v>
      </c>
      <c r="B9" s="210">
        <v>15</v>
      </c>
      <c r="C9" s="210">
        <v>8</v>
      </c>
      <c r="D9" s="210">
        <f>2+1</f>
        <v>3</v>
      </c>
      <c r="E9" s="210">
        <v>3</v>
      </c>
      <c r="F9" s="210">
        <v>5</v>
      </c>
      <c r="G9" s="210">
        <v>7</v>
      </c>
      <c r="H9" s="210">
        <v>7</v>
      </c>
      <c r="I9" s="210">
        <v>4</v>
      </c>
      <c r="J9" s="210">
        <v>3</v>
      </c>
      <c r="K9" s="210">
        <v>7</v>
      </c>
      <c r="L9" s="210">
        <v>6</v>
      </c>
    </row>
    <row r="10" spans="1:12" x14ac:dyDescent="0.25">
      <c r="A10" s="311" t="s">
        <v>1058</v>
      </c>
      <c r="B10" s="210">
        <v>1</v>
      </c>
      <c r="C10" s="210">
        <v>0</v>
      </c>
      <c r="D10" s="210">
        <v>1</v>
      </c>
      <c r="E10" s="210">
        <v>3</v>
      </c>
      <c r="F10" s="210">
        <v>3</v>
      </c>
      <c r="G10" s="210">
        <v>2</v>
      </c>
      <c r="H10" s="210">
        <v>1</v>
      </c>
      <c r="I10" s="210">
        <v>1</v>
      </c>
      <c r="J10" s="210">
        <v>2</v>
      </c>
      <c r="K10" s="210">
        <v>4</v>
      </c>
      <c r="L10" s="210">
        <v>2</v>
      </c>
    </row>
    <row r="11" spans="1:12" x14ac:dyDescent="0.25">
      <c r="A11" s="209" t="s">
        <v>1127</v>
      </c>
      <c r="B11" s="210">
        <v>10</v>
      </c>
      <c r="C11" s="210">
        <v>0</v>
      </c>
      <c r="D11" s="210">
        <v>2</v>
      </c>
      <c r="E11" s="210">
        <v>3</v>
      </c>
      <c r="F11" s="210">
        <v>2</v>
      </c>
      <c r="G11" s="210">
        <v>0</v>
      </c>
      <c r="H11" s="210">
        <v>1</v>
      </c>
      <c r="I11" s="210">
        <v>1</v>
      </c>
      <c r="J11" s="210">
        <v>0</v>
      </c>
      <c r="K11" s="210">
        <v>0</v>
      </c>
      <c r="L11" s="210">
        <v>0</v>
      </c>
    </row>
    <row r="12" spans="1:12" x14ac:dyDescent="0.25">
      <c r="A12" s="209" t="s">
        <v>1128</v>
      </c>
      <c r="B12" s="210">
        <v>4</v>
      </c>
      <c r="C12" s="210">
        <v>3</v>
      </c>
      <c r="D12" s="210">
        <v>1</v>
      </c>
      <c r="E12" s="210">
        <v>0</v>
      </c>
      <c r="F12" s="210">
        <v>0</v>
      </c>
      <c r="G12" s="210">
        <v>0</v>
      </c>
      <c r="H12" s="210">
        <v>0</v>
      </c>
      <c r="I12" s="210">
        <v>0</v>
      </c>
      <c r="J12" s="210">
        <v>0</v>
      </c>
      <c r="K12" s="210">
        <v>0</v>
      </c>
      <c r="L12" s="210">
        <v>0</v>
      </c>
    </row>
    <row r="13" spans="1:12" x14ac:dyDescent="0.25">
      <c r="A13" s="209" t="s">
        <v>1221</v>
      </c>
      <c r="B13" s="210">
        <v>1</v>
      </c>
      <c r="C13" s="210">
        <v>0</v>
      </c>
      <c r="D13" s="210">
        <v>1</v>
      </c>
      <c r="E13" s="210">
        <v>0</v>
      </c>
      <c r="F13" s="210">
        <v>1</v>
      </c>
      <c r="G13" s="210">
        <v>0</v>
      </c>
      <c r="H13" s="210">
        <v>0</v>
      </c>
      <c r="I13" s="210">
        <v>0</v>
      </c>
      <c r="J13" s="210">
        <v>0</v>
      </c>
      <c r="K13" s="210">
        <v>0</v>
      </c>
      <c r="L13" s="210">
        <v>0</v>
      </c>
    </row>
    <row r="14" spans="1:12" x14ac:dyDescent="0.25">
      <c r="A14" s="311" t="s">
        <v>1129</v>
      </c>
      <c r="B14" s="210">
        <v>0</v>
      </c>
      <c r="C14" s="210">
        <v>2</v>
      </c>
      <c r="D14" s="210">
        <v>0</v>
      </c>
      <c r="E14" s="210">
        <v>1</v>
      </c>
      <c r="F14" s="210">
        <v>3</v>
      </c>
      <c r="G14" s="210">
        <v>1</v>
      </c>
      <c r="H14" s="210">
        <v>1</v>
      </c>
      <c r="I14" s="210">
        <v>1</v>
      </c>
      <c r="J14" s="210">
        <v>0</v>
      </c>
      <c r="K14" s="210">
        <v>0</v>
      </c>
      <c r="L14" s="210">
        <v>0</v>
      </c>
    </row>
    <row r="15" spans="1:12" x14ac:dyDescent="0.25">
      <c r="A15" s="1431" t="s">
        <v>1562</v>
      </c>
      <c r="B15" s="210">
        <v>0</v>
      </c>
      <c r="C15" s="210">
        <v>0</v>
      </c>
      <c r="D15" s="210">
        <v>0</v>
      </c>
      <c r="E15" s="210">
        <v>0</v>
      </c>
      <c r="F15" s="210">
        <v>0</v>
      </c>
      <c r="G15" s="210">
        <v>0</v>
      </c>
      <c r="H15" s="210">
        <v>0</v>
      </c>
      <c r="I15" s="210">
        <v>0</v>
      </c>
      <c r="J15" s="210">
        <v>0</v>
      </c>
      <c r="K15" s="210">
        <v>0</v>
      </c>
      <c r="L15" s="210">
        <v>1</v>
      </c>
    </row>
    <row r="16" spans="1:12" x14ac:dyDescent="0.25">
      <c r="A16" s="311" t="s">
        <v>1130</v>
      </c>
      <c r="B16" s="210">
        <v>1</v>
      </c>
      <c r="C16" s="210">
        <v>0</v>
      </c>
      <c r="D16" s="210">
        <v>1</v>
      </c>
      <c r="E16" s="210">
        <v>0</v>
      </c>
      <c r="F16" s="210">
        <v>0</v>
      </c>
      <c r="G16" s="210">
        <v>2</v>
      </c>
      <c r="H16" s="210">
        <v>1</v>
      </c>
      <c r="I16" s="210">
        <v>1</v>
      </c>
      <c r="J16" s="210">
        <v>0</v>
      </c>
      <c r="K16" s="210">
        <v>0</v>
      </c>
      <c r="L16" s="210">
        <v>0</v>
      </c>
    </row>
    <row r="17" spans="1:12" x14ac:dyDescent="0.25">
      <c r="A17" s="209" t="s">
        <v>1079</v>
      </c>
      <c r="B17" s="210">
        <v>1</v>
      </c>
      <c r="C17" s="210">
        <v>0</v>
      </c>
      <c r="D17" s="210">
        <v>1</v>
      </c>
      <c r="E17" s="210">
        <v>1</v>
      </c>
      <c r="F17" s="210">
        <v>0</v>
      </c>
      <c r="G17" s="210">
        <v>0</v>
      </c>
      <c r="H17" s="210">
        <v>2</v>
      </c>
      <c r="I17" s="210">
        <v>1</v>
      </c>
      <c r="J17" s="210">
        <v>0</v>
      </c>
      <c r="K17" s="210">
        <v>0</v>
      </c>
      <c r="L17" s="210">
        <v>1</v>
      </c>
    </row>
    <row r="18" spans="1:12" x14ac:dyDescent="0.25">
      <c r="A18" s="209" t="s">
        <v>774</v>
      </c>
      <c r="B18" s="210">
        <v>1</v>
      </c>
      <c r="C18" s="210">
        <v>0</v>
      </c>
      <c r="D18" s="210">
        <v>0</v>
      </c>
      <c r="E18" s="210">
        <v>0</v>
      </c>
      <c r="F18" s="210">
        <v>0</v>
      </c>
      <c r="G18" s="210">
        <v>0</v>
      </c>
      <c r="H18" s="210">
        <v>0</v>
      </c>
      <c r="I18" s="210">
        <v>0</v>
      </c>
      <c r="J18" s="210">
        <v>0</v>
      </c>
      <c r="K18" s="210">
        <v>0</v>
      </c>
      <c r="L18" s="210">
        <v>0</v>
      </c>
    </row>
    <row r="19" spans="1:12" x14ac:dyDescent="0.25">
      <c r="A19" s="1009" t="s">
        <v>1461</v>
      </c>
      <c r="B19" s="210"/>
      <c r="C19" s="210"/>
      <c r="D19" s="210"/>
      <c r="E19" s="210"/>
      <c r="F19" s="210">
        <v>0</v>
      </c>
      <c r="G19" s="210">
        <v>0</v>
      </c>
      <c r="H19" s="210">
        <v>0</v>
      </c>
      <c r="I19" s="210">
        <v>0</v>
      </c>
      <c r="J19" s="210">
        <v>3</v>
      </c>
      <c r="K19" s="210">
        <v>0</v>
      </c>
      <c r="L19" s="210">
        <v>0</v>
      </c>
    </row>
    <row r="20" spans="1:12" x14ac:dyDescent="0.25">
      <c r="A20" s="209" t="s">
        <v>1060</v>
      </c>
      <c r="B20" s="210">
        <v>0</v>
      </c>
      <c r="C20" s="210">
        <v>3</v>
      </c>
      <c r="D20" s="210">
        <v>0</v>
      </c>
      <c r="E20" s="210">
        <v>1</v>
      </c>
      <c r="F20" s="210">
        <v>0</v>
      </c>
      <c r="G20" s="210">
        <v>0</v>
      </c>
      <c r="H20" s="210">
        <v>0</v>
      </c>
      <c r="I20" s="210">
        <v>0</v>
      </c>
      <c r="J20" s="210">
        <v>0</v>
      </c>
      <c r="K20" s="210">
        <v>0</v>
      </c>
      <c r="L20" s="210">
        <v>2</v>
      </c>
    </row>
    <row r="21" spans="1:12" x14ac:dyDescent="0.25">
      <c r="A21" s="209" t="s">
        <v>1132</v>
      </c>
      <c r="B21" s="210">
        <v>1</v>
      </c>
      <c r="C21" s="210">
        <v>0</v>
      </c>
      <c r="D21" s="210">
        <v>1</v>
      </c>
      <c r="E21" s="210">
        <v>1</v>
      </c>
      <c r="F21" s="210">
        <v>0</v>
      </c>
      <c r="G21" s="210">
        <v>0</v>
      </c>
      <c r="H21" s="210">
        <v>0</v>
      </c>
      <c r="I21" s="210">
        <v>1</v>
      </c>
      <c r="J21" s="210">
        <v>0</v>
      </c>
      <c r="K21" s="210">
        <v>1</v>
      </c>
      <c r="L21" s="210">
        <v>1</v>
      </c>
    </row>
    <row r="22" spans="1:12" x14ac:dyDescent="0.25">
      <c r="A22" s="209" t="s">
        <v>577</v>
      </c>
      <c r="B22" s="210">
        <v>0</v>
      </c>
      <c r="C22" s="210">
        <v>0</v>
      </c>
      <c r="D22" s="210">
        <v>0</v>
      </c>
      <c r="E22" s="210">
        <v>2</v>
      </c>
      <c r="F22" s="210">
        <v>0</v>
      </c>
      <c r="G22" s="210">
        <v>0</v>
      </c>
      <c r="H22" s="210">
        <v>0</v>
      </c>
      <c r="I22" s="210">
        <v>0</v>
      </c>
      <c r="J22" s="210">
        <v>0</v>
      </c>
      <c r="K22" s="210">
        <v>0</v>
      </c>
      <c r="L22" s="210">
        <v>0</v>
      </c>
    </row>
    <row r="23" spans="1:12" x14ac:dyDescent="0.25">
      <c r="A23" s="311" t="s">
        <v>488</v>
      </c>
      <c r="B23" s="210">
        <v>1</v>
      </c>
      <c r="C23" s="210">
        <v>1</v>
      </c>
      <c r="D23" s="210">
        <v>1</v>
      </c>
      <c r="E23" s="210">
        <v>0</v>
      </c>
      <c r="F23" s="210">
        <v>2</v>
      </c>
      <c r="G23" s="210">
        <v>3</v>
      </c>
      <c r="H23" s="210">
        <v>2</v>
      </c>
      <c r="I23" s="210">
        <v>2</v>
      </c>
      <c r="J23" s="210">
        <v>2</v>
      </c>
      <c r="K23" s="210">
        <v>4</v>
      </c>
      <c r="L23" s="210">
        <v>3</v>
      </c>
    </row>
    <row r="24" spans="1:12" x14ac:dyDescent="0.25">
      <c r="A24" s="209" t="s">
        <v>1076</v>
      </c>
      <c r="B24" s="210">
        <v>7</v>
      </c>
      <c r="C24" s="210">
        <v>2</v>
      </c>
      <c r="D24" s="210">
        <v>6</v>
      </c>
      <c r="E24" s="210">
        <v>5</v>
      </c>
      <c r="F24" s="210">
        <v>0</v>
      </c>
      <c r="G24" s="210">
        <v>2</v>
      </c>
      <c r="H24" s="210">
        <v>1</v>
      </c>
      <c r="I24" s="210">
        <v>0</v>
      </c>
      <c r="J24" s="210">
        <v>1</v>
      </c>
      <c r="K24" s="210">
        <v>3</v>
      </c>
      <c r="L24" s="210">
        <v>0</v>
      </c>
    </row>
    <row r="25" spans="1:12" x14ac:dyDescent="0.25">
      <c r="A25" s="1009" t="s">
        <v>1447</v>
      </c>
      <c r="B25" s="210">
        <v>0</v>
      </c>
      <c r="C25" s="210">
        <v>0</v>
      </c>
      <c r="D25" s="210">
        <v>0</v>
      </c>
      <c r="E25" s="210">
        <v>0</v>
      </c>
      <c r="F25" s="210">
        <v>0</v>
      </c>
      <c r="G25" s="210">
        <v>0</v>
      </c>
      <c r="H25" s="210">
        <v>0</v>
      </c>
      <c r="I25" s="210">
        <v>0</v>
      </c>
      <c r="J25" s="210">
        <v>1</v>
      </c>
      <c r="K25" s="210">
        <v>1</v>
      </c>
      <c r="L25" s="210">
        <v>0</v>
      </c>
    </row>
    <row r="26" spans="1:12" x14ac:dyDescent="0.25">
      <c r="A26" s="209" t="s">
        <v>1134</v>
      </c>
      <c r="B26" s="210">
        <v>0</v>
      </c>
      <c r="C26" s="210">
        <v>0</v>
      </c>
      <c r="D26" s="210">
        <v>0</v>
      </c>
      <c r="E26" s="210">
        <v>1</v>
      </c>
      <c r="F26" s="210">
        <v>1</v>
      </c>
      <c r="G26" s="210">
        <v>0</v>
      </c>
      <c r="H26" s="210">
        <v>0</v>
      </c>
      <c r="I26" s="210">
        <v>2</v>
      </c>
      <c r="J26" s="210">
        <v>0</v>
      </c>
      <c r="K26" s="210">
        <v>0</v>
      </c>
      <c r="L26" s="210">
        <v>0</v>
      </c>
    </row>
    <row r="27" spans="1:12" x14ac:dyDescent="0.25">
      <c r="A27" s="1009" t="s">
        <v>1462</v>
      </c>
      <c r="B27" s="210">
        <v>0</v>
      </c>
      <c r="C27" s="210">
        <v>0</v>
      </c>
      <c r="D27" s="210">
        <v>1</v>
      </c>
      <c r="E27" s="210">
        <v>0</v>
      </c>
      <c r="F27" s="210">
        <v>0</v>
      </c>
      <c r="G27" s="210">
        <v>1</v>
      </c>
      <c r="H27" s="210">
        <v>0</v>
      </c>
      <c r="I27" s="210">
        <v>1</v>
      </c>
      <c r="J27" s="210">
        <v>2</v>
      </c>
      <c r="K27" s="210">
        <v>1</v>
      </c>
      <c r="L27" s="210">
        <v>0</v>
      </c>
    </row>
    <row r="28" spans="1:12" x14ac:dyDescent="0.25">
      <c r="A28" s="209" t="s">
        <v>1088</v>
      </c>
      <c r="B28" s="210">
        <v>5</v>
      </c>
      <c r="C28" s="210">
        <v>2</v>
      </c>
      <c r="D28" s="210">
        <v>4</v>
      </c>
      <c r="E28" s="210">
        <v>2</v>
      </c>
      <c r="F28" s="210">
        <v>4</v>
      </c>
      <c r="G28" s="210">
        <v>0</v>
      </c>
      <c r="H28" s="210">
        <v>2</v>
      </c>
      <c r="I28" s="210">
        <v>0</v>
      </c>
      <c r="J28" s="210">
        <v>1</v>
      </c>
      <c r="K28" s="210">
        <v>0</v>
      </c>
      <c r="L28" s="210">
        <v>2</v>
      </c>
    </row>
    <row r="29" spans="1:12" x14ac:dyDescent="0.25">
      <c r="A29" s="1009" t="s">
        <v>1448</v>
      </c>
      <c r="B29" s="210">
        <v>0</v>
      </c>
      <c r="C29" s="210">
        <v>0</v>
      </c>
      <c r="D29" s="210">
        <v>0</v>
      </c>
      <c r="E29" s="210">
        <v>0</v>
      </c>
      <c r="F29" s="210">
        <v>0</v>
      </c>
      <c r="G29" s="210">
        <v>0</v>
      </c>
      <c r="H29" s="210">
        <v>0</v>
      </c>
      <c r="I29" s="210">
        <v>0</v>
      </c>
      <c r="J29" s="210">
        <v>1</v>
      </c>
      <c r="K29" s="210">
        <v>2</v>
      </c>
      <c r="L29" s="210">
        <v>0</v>
      </c>
    </row>
    <row r="30" spans="1:12" x14ac:dyDescent="0.25">
      <c r="A30" s="209" t="s">
        <v>1072</v>
      </c>
      <c r="B30" s="210">
        <v>3</v>
      </c>
      <c r="C30" s="210">
        <v>3</v>
      </c>
      <c r="D30" s="210">
        <v>1</v>
      </c>
      <c r="E30" s="210">
        <v>2</v>
      </c>
      <c r="F30" s="210">
        <v>0</v>
      </c>
      <c r="G30" s="210">
        <v>0</v>
      </c>
      <c r="H30" s="210">
        <v>0</v>
      </c>
      <c r="I30" s="210">
        <v>0</v>
      </c>
      <c r="J30" s="210">
        <v>0</v>
      </c>
      <c r="K30" s="210">
        <v>0</v>
      </c>
      <c r="L30" s="210">
        <v>1</v>
      </c>
    </row>
    <row r="31" spans="1:12" x14ac:dyDescent="0.25">
      <c r="A31" s="1432" t="s">
        <v>1563</v>
      </c>
      <c r="B31" s="210">
        <v>0</v>
      </c>
      <c r="C31" s="210">
        <v>0</v>
      </c>
      <c r="D31" s="210">
        <v>0</v>
      </c>
      <c r="E31" s="210">
        <v>0</v>
      </c>
      <c r="F31" s="210">
        <v>0</v>
      </c>
      <c r="G31" s="210">
        <v>0</v>
      </c>
      <c r="H31" s="210">
        <v>0</v>
      </c>
      <c r="I31" s="210">
        <v>0</v>
      </c>
      <c r="J31" s="210">
        <v>0</v>
      </c>
      <c r="K31" s="210">
        <v>0</v>
      </c>
      <c r="L31" s="210">
        <v>1</v>
      </c>
    </row>
    <row r="32" spans="1:12" x14ac:dyDescent="0.25">
      <c r="A32" s="209" t="s">
        <v>1220</v>
      </c>
      <c r="B32" s="210">
        <v>0</v>
      </c>
      <c r="C32" s="210">
        <v>0</v>
      </c>
      <c r="D32" s="210">
        <v>0</v>
      </c>
      <c r="E32" s="210">
        <v>0</v>
      </c>
      <c r="F32" s="210">
        <v>2</v>
      </c>
      <c r="G32" s="210">
        <v>0</v>
      </c>
      <c r="H32" s="210">
        <v>2</v>
      </c>
      <c r="I32" s="210">
        <v>1</v>
      </c>
      <c r="J32" s="210">
        <v>0</v>
      </c>
      <c r="K32" s="210">
        <v>0</v>
      </c>
      <c r="L32" s="210">
        <v>6</v>
      </c>
    </row>
    <row r="33" spans="1:12" x14ac:dyDescent="0.25">
      <c r="A33" s="209" t="s">
        <v>1138</v>
      </c>
      <c r="B33" s="210">
        <v>0</v>
      </c>
      <c r="C33" s="210">
        <v>0</v>
      </c>
      <c r="D33" s="210">
        <v>0</v>
      </c>
      <c r="E33" s="210">
        <v>1</v>
      </c>
      <c r="F33" s="210">
        <v>0</v>
      </c>
      <c r="G33" s="210">
        <v>0</v>
      </c>
      <c r="H33" s="210">
        <v>0</v>
      </c>
      <c r="I33" s="210">
        <v>0</v>
      </c>
      <c r="J33" s="210">
        <v>1</v>
      </c>
      <c r="K33" s="210">
        <v>0</v>
      </c>
      <c r="L33" s="210">
        <v>1</v>
      </c>
    </row>
    <row r="34" spans="1:12" x14ac:dyDescent="0.25">
      <c r="A34" s="209" t="s">
        <v>1077</v>
      </c>
      <c r="B34" s="210">
        <v>2</v>
      </c>
      <c r="C34" s="210">
        <v>0</v>
      </c>
      <c r="D34" s="210">
        <v>3</v>
      </c>
      <c r="E34" s="210">
        <v>0</v>
      </c>
      <c r="F34" s="210">
        <v>1</v>
      </c>
      <c r="G34" s="210">
        <v>0</v>
      </c>
      <c r="H34" s="210">
        <v>2</v>
      </c>
      <c r="I34" s="210">
        <v>0</v>
      </c>
      <c r="J34" s="210">
        <v>0</v>
      </c>
      <c r="K34" s="210">
        <v>0</v>
      </c>
      <c r="L34" s="210">
        <v>0</v>
      </c>
    </row>
    <row r="35" spans="1:12" x14ac:dyDescent="0.25">
      <c r="A35" s="209" t="s">
        <v>1078</v>
      </c>
      <c r="B35" s="210">
        <v>0</v>
      </c>
      <c r="C35" s="210">
        <v>1</v>
      </c>
      <c r="D35" s="210">
        <v>0</v>
      </c>
      <c r="E35" s="210">
        <v>0</v>
      </c>
      <c r="F35" s="210">
        <v>4</v>
      </c>
      <c r="G35" s="210">
        <v>3</v>
      </c>
      <c r="H35" s="210">
        <v>3</v>
      </c>
      <c r="I35" s="210">
        <v>2</v>
      </c>
      <c r="J35" s="210">
        <v>1</v>
      </c>
      <c r="K35" s="210">
        <v>1</v>
      </c>
      <c r="L35" s="210">
        <v>1</v>
      </c>
    </row>
    <row r="36" spans="1:12" x14ac:dyDescent="0.25">
      <c r="A36" s="209" t="s">
        <v>1047</v>
      </c>
      <c r="B36" s="210">
        <v>3</v>
      </c>
      <c r="C36" s="210">
        <v>4</v>
      </c>
      <c r="D36" s="210">
        <v>2</v>
      </c>
      <c r="E36" s="210">
        <v>0</v>
      </c>
      <c r="F36" s="210">
        <v>1</v>
      </c>
      <c r="G36" s="210">
        <v>0</v>
      </c>
      <c r="H36" s="210">
        <v>2</v>
      </c>
      <c r="I36" s="210">
        <v>2</v>
      </c>
      <c r="J36" s="210">
        <v>8</v>
      </c>
      <c r="K36" s="210">
        <v>6</v>
      </c>
      <c r="L36" s="210">
        <v>4</v>
      </c>
    </row>
    <row r="37" spans="1:12" x14ac:dyDescent="0.25">
      <c r="A37" s="1009" t="s">
        <v>1375</v>
      </c>
      <c r="B37" s="210">
        <v>0</v>
      </c>
      <c r="C37" s="210">
        <v>0</v>
      </c>
      <c r="D37" s="210">
        <v>0</v>
      </c>
      <c r="E37" s="210">
        <v>0</v>
      </c>
      <c r="F37" s="210">
        <v>0</v>
      </c>
      <c r="G37" s="210">
        <v>0</v>
      </c>
      <c r="H37" s="210">
        <v>1</v>
      </c>
      <c r="I37" s="210">
        <v>0</v>
      </c>
      <c r="J37" s="210">
        <v>0</v>
      </c>
      <c r="K37" s="210">
        <v>0</v>
      </c>
      <c r="L37" s="210">
        <v>0</v>
      </c>
    </row>
    <row r="38" spans="1:12" x14ac:dyDescent="0.25">
      <c r="A38" s="209" t="s">
        <v>1053</v>
      </c>
      <c r="B38" s="210">
        <v>1</v>
      </c>
      <c r="C38" s="210">
        <v>0</v>
      </c>
      <c r="D38" s="210">
        <v>0</v>
      </c>
      <c r="E38" s="210">
        <v>0</v>
      </c>
      <c r="F38" s="210">
        <v>0</v>
      </c>
      <c r="G38" s="210">
        <v>0</v>
      </c>
      <c r="H38" s="210">
        <v>1</v>
      </c>
      <c r="I38" s="210">
        <v>1</v>
      </c>
      <c r="J38" s="210">
        <v>1</v>
      </c>
      <c r="K38" s="210">
        <v>1</v>
      </c>
      <c r="L38" s="210">
        <v>0</v>
      </c>
    </row>
    <row r="39" spans="1:12" x14ac:dyDescent="0.25">
      <c r="A39" s="209" t="s">
        <v>1080</v>
      </c>
      <c r="B39" s="210">
        <v>5</v>
      </c>
      <c r="C39" s="210">
        <v>0</v>
      </c>
      <c r="D39" s="210">
        <v>4</v>
      </c>
      <c r="E39" s="210">
        <v>4</v>
      </c>
      <c r="F39" s="210">
        <v>7</v>
      </c>
      <c r="G39" s="210">
        <v>7</v>
      </c>
      <c r="H39" s="210">
        <v>1</v>
      </c>
      <c r="I39" s="210">
        <v>4</v>
      </c>
      <c r="J39" s="210">
        <v>1</v>
      </c>
      <c r="K39" s="210">
        <v>0</v>
      </c>
      <c r="L39" s="210">
        <v>2</v>
      </c>
    </row>
    <row r="40" spans="1:12" x14ac:dyDescent="0.25">
      <c r="A40" s="209" t="s">
        <v>1074</v>
      </c>
      <c r="B40" s="210">
        <v>0</v>
      </c>
      <c r="C40" s="210">
        <v>0</v>
      </c>
      <c r="D40" s="210">
        <v>0</v>
      </c>
      <c r="E40" s="210">
        <v>0</v>
      </c>
      <c r="F40" s="210">
        <v>0</v>
      </c>
      <c r="G40" s="210">
        <v>0</v>
      </c>
      <c r="H40" s="210">
        <v>0</v>
      </c>
      <c r="I40" s="210">
        <v>0</v>
      </c>
      <c r="J40" s="210">
        <v>0</v>
      </c>
      <c r="K40" s="210">
        <v>0</v>
      </c>
      <c r="L40" s="210">
        <v>1</v>
      </c>
    </row>
    <row r="41" spans="1:12" x14ac:dyDescent="0.25">
      <c r="A41" s="311" t="s">
        <v>1075</v>
      </c>
      <c r="B41" s="210">
        <v>1</v>
      </c>
      <c r="C41" s="210">
        <v>1</v>
      </c>
      <c r="D41" s="210">
        <v>3</v>
      </c>
      <c r="E41" s="210">
        <v>2</v>
      </c>
      <c r="F41" s="210">
        <v>1</v>
      </c>
      <c r="G41" s="210">
        <v>1</v>
      </c>
      <c r="H41" s="210">
        <v>1</v>
      </c>
      <c r="I41" s="210">
        <v>0</v>
      </c>
      <c r="J41" s="210">
        <v>1</v>
      </c>
      <c r="K41" s="210">
        <v>0</v>
      </c>
      <c r="L41" s="210">
        <v>2</v>
      </c>
    </row>
    <row r="42" spans="1:12" x14ac:dyDescent="0.25">
      <c r="A42" s="311" t="s">
        <v>1139</v>
      </c>
      <c r="B42" s="210">
        <v>0</v>
      </c>
      <c r="C42" s="210">
        <v>1</v>
      </c>
      <c r="D42" s="210">
        <v>2</v>
      </c>
      <c r="E42" s="210">
        <v>1</v>
      </c>
      <c r="F42" s="210">
        <v>2</v>
      </c>
      <c r="G42" s="210">
        <v>1</v>
      </c>
      <c r="H42" s="210">
        <v>2</v>
      </c>
      <c r="I42" s="210">
        <v>0</v>
      </c>
      <c r="J42" s="210">
        <v>1</v>
      </c>
      <c r="K42" s="210">
        <v>0</v>
      </c>
      <c r="L42" s="210">
        <v>0</v>
      </c>
    </row>
    <row r="43" spans="1:12" x14ac:dyDescent="0.25">
      <c r="A43" s="311" t="s">
        <v>1140</v>
      </c>
      <c r="B43" s="210">
        <f>SUM(B6:B42)</f>
        <v>74</v>
      </c>
      <c r="C43" s="210">
        <f t="shared" ref="C43:J43" si="0">SUM(C5:C42)</f>
        <v>33</v>
      </c>
      <c r="D43" s="210">
        <f t="shared" si="0"/>
        <v>49</v>
      </c>
      <c r="E43" s="210">
        <f t="shared" si="0"/>
        <v>41</v>
      </c>
      <c r="F43" s="210">
        <f>SUM(F5:F42)</f>
        <v>42</v>
      </c>
      <c r="G43" s="210">
        <f>SUM(G5:G42)</f>
        <v>35</v>
      </c>
      <c r="H43" s="210">
        <f>SUM(H5:H42)</f>
        <v>38</v>
      </c>
      <c r="I43" s="210">
        <f t="shared" si="0"/>
        <v>32</v>
      </c>
      <c r="J43" s="210">
        <f t="shared" si="0"/>
        <v>33</v>
      </c>
      <c r="K43" s="210">
        <f>SUM(K5:K42)</f>
        <v>35</v>
      </c>
      <c r="L43" s="210">
        <f>SUM(L5:L42)</f>
        <v>38</v>
      </c>
    </row>
    <row r="44" spans="1:12" x14ac:dyDescent="0.25">
      <c r="A44" s="311" t="s">
        <v>1141</v>
      </c>
      <c r="B44" s="210">
        <v>314</v>
      </c>
      <c r="C44" s="210">
        <v>364</v>
      </c>
      <c r="D44" s="210">
        <f>334+7</f>
        <v>341</v>
      </c>
      <c r="E44" s="210">
        <v>389</v>
      </c>
      <c r="F44" s="210">
        <f>485-F43-F45</f>
        <v>435</v>
      </c>
      <c r="G44" s="210">
        <f>416-G45-G43</f>
        <v>367</v>
      </c>
      <c r="H44" s="210">
        <f>475-H43-H45</f>
        <v>418</v>
      </c>
      <c r="I44" s="210">
        <f>481-I43-I45</f>
        <v>418</v>
      </c>
      <c r="J44" s="210">
        <f>447-J43-J45</f>
        <v>403</v>
      </c>
      <c r="K44" s="210">
        <f>472-K43-K45</f>
        <v>419</v>
      </c>
      <c r="L44" s="210">
        <f>497-L43-L45</f>
        <v>446</v>
      </c>
    </row>
    <row r="45" spans="1:12" x14ac:dyDescent="0.25">
      <c r="A45" s="311" t="s">
        <v>1142</v>
      </c>
      <c r="B45" s="210">
        <v>17</v>
      </c>
      <c r="C45" s="210">
        <v>25</v>
      </c>
      <c r="D45" s="210">
        <f>32+4</f>
        <v>36</v>
      </c>
      <c r="E45" s="210">
        <v>43</v>
      </c>
      <c r="F45" s="210">
        <v>8</v>
      </c>
      <c r="G45" s="210">
        <v>14</v>
      </c>
      <c r="H45" s="210">
        <v>19</v>
      </c>
      <c r="I45" s="210">
        <v>31</v>
      </c>
      <c r="J45" s="210">
        <v>11</v>
      </c>
      <c r="K45" s="210">
        <v>18</v>
      </c>
      <c r="L45" s="210">
        <v>13</v>
      </c>
    </row>
    <row r="46" spans="1:12" x14ac:dyDescent="0.25">
      <c r="A46" s="437"/>
      <c r="B46" s="438"/>
      <c r="C46" s="438"/>
      <c r="D46" s="438"/>
      <c r="E46" s="438"/>
      <c r="F46" s="438"/>
      <c r="G46" s="438"/>
      <c r="H46" s="438"/>
      <c r="I46" s="438"/>
      <c r="J46" s="438"/>
      <c r="K46" s="438"/>
      <c r="L46" s="438"/>
    </row>
    <row r="47" spans="1:12" x14ac:dyDescent="0.25">
      <c r="A47" s="312" t="s">
        <v>949</v>
      </c>
      <c r="B47" s="366">
        <f t="shared" ref="B47:G47" si="1">SUM(B43:B45)</f>
        <v>405</v>
      </c>
      <c r="C47" s="366">
        <f t="shared" si="1"/>
        <v>422</v>
      </c>
      <c r="D47" s="366">
        <f t="shared" si="1"/>
        <v>426</v>
      </c>
      <c r="E47" s="366">
        <f t="shared" si="1"/>
        <v>473</v>
      </c>
      <c r="F47" s="366">
        <f t="shared" si="1"/>
        <v>485</v>
      </c>
      <c r="G47" s="366">
        <f t="shared" si="1"/>
        <v>416</v>
      </c>
      <c r="H47" s="366">
        <f>SUM(H43:H45)</f>
        <v>475</v>
      </c>
      <c r="I47" s="366">
        <f>SUM(I43:I45)</f>
        <v>481</v>
      </c>
      <c r="J47" s="366">
        <f>SUM(J43:J45)</f>
        <v>447</v>
      </c>
      <c r="K47" s="366">
        <f>SUM(K43:K45)</f>
        <v>472</v>
      </c>
      <c r="L47" s="366">
        <f>SUM(L43:L45)</f>
        <v>497</v>
      </c>
    </row>
    <row r="48" spans="1:12" ht="57.75" customHeight="1" x14ac:dyDescent="0.25">
      <c r="A48" s="1789" t="s">
        <v>472</v>
      </c>
      <c r="B48" s="1789"/>
      <c r="C48" s="1789"/>
      <c r="D48" s="1789"/>
      <c r="E48" s="1789"/>
      <c r="F48" s="1789"/>
      <c r="G48" s="1789"/>
      <c r="H48" s="1789"/>
      <c r="I48" s="1789"/>
      <c r="J48" s="1789"/>
      <c r="K48" s="1789"/>
      <c r="L48" s="1789"/>
    </row>
    <row r="49" spans="1:6" x14ac:dyDescent="0.25">
      <c r="A49" s="691"/>
      <c r="B49" s="691"/>
      <c r="C49" s="691"/>
      <c r="D49" s="691"/>
      <c r="E49" s="519"/>
      <c r="F49" s="519"/>
    </row>
    <row r="50" spans="1:6" x14ac:dyDescent="0.25">
      <c r="B50" s="1"/>
      <c r="C50" s="1"/>
    </row>
  </sheetData>
  <mergeCells count="2">
    <mergeCell ref="A1:L1"/>
    <mergeCell ref="A48:L48"/>
  </mergeCells>
  <phoneticPr fontId="15" type="noConversion"/>
  <printOptions horizontalCentered="1" verticalCentered="1"/>
  <pageMargins left="0.75" right="0.75" top="1" bottom="1" header="0.5" footer="0.5"/>
  <pageSetup scale="94" orientation="portrait" r:id="rId1"/>
  <headerFooter alignWithMargins="0">
    <oddFooter>&amp;LSource: Office of Institutional Research</oddFooter>
  </headerFooter>
  <legacyDrawing r:id="rId2"/>
  <webPublishItems count="1">
    <webPublishItem id="23806" divId="FINAL COPY 2000_2001 FACT BOOK_23806" sourceType="sheet" destinationFile="C:\Documents and Settings\mkirkpatrick\My Documents\2004-2005 FACT BOOK\2004-2005 fact book WEB PAGES\04_05minorsconferred.htm"/>
  </webPublishItems>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5">
    <pageSetUpPr fitToPage="1"/>
  </sheetPr>
  <dimension ref="A1:AE51"/>
  <sheetViews>
    <sheetView workbookViewId="0">
      <selection sqref="A1:AE1"/>
    </sheetView>
  </sheetViews>
  <sheetFormatPr defaultRowHeight="13.2" x14ac:dyDescent="0.25"/>
  <cols>
    <col min="1" max="1" width="30.6640625" customWidth="1"/>
    <col min="2" max="19" width="12.6640625" hidden="1" customWidth="1"/>
    <col min="20" max="21" width="13" hidden="1" customWidth="1"/>
    <col min="22" max="23" width="13" customWidth="1"/>
    <col min="24" max="31" width="13.109375" customWidth="1"/>
  </cols>
  <sheetData>
    <row r="1" spans="1:31" ht="19.2" x14ac:dyDescent="0.35">
      <c r="A1" s="1755" t="s">
        <v>473</v>
      </c>
      <c r="B1" s="1755"/>
      <c r="C1" s="1755"/>
      <c r="D1" s="1755"/>
      <c r="E1" s="1755"/>
      <c r="F1" s="1755"/>
      <c r="G1" s="1755"/>
      <c r="H1" s="1755"/>
      <c r="I1" s="1755"/>
      <c r="J1" s="1755"/>
      <c r="K1" s="1755"/>
      <c r="L1" s="1755"/>
      <c r="M1" s="1755"/>
      <c r="N1" s="1755"/>
      <c r="O1" s="1755"/>
      <c r="P1" s="1755"/>
      <c r="Q1" s="1755"/>
      <c r="R1" s="1755"/>
      <c r="S1" s="1755"/>
      <c r="T1" s="1755"/>
      <c r="U1" s="1755"/>
      <c r="V1" s="1755"/>
      <c r="W1" s="1755"/>
      <c r="X1" s="1755"/>
      <c r="Y1" s="1755"/>
      <c r="Z1" s="1755"/>
      <c r="AA1" s="1755"/>
      <c r="AB1" s="1755"/>
      <c r="AC1" s="1755"/>
      <c r="AD1" s="1755"/>
      <c r="AE1" s="1755"/>
    </row>
    <row r="2" spans="1:31" ht="16.2" customHeight="1" x14ac:dyDescent="0.3">
      <c r="A2" s="1790" t="s">
        <v>249</v>
      </c>
      <c r="B2" s="1790"/>
      <c r="C2" s="1790"/>
      <c r="D2" s="1790"/>
      <c r="E2" s="1790"/>
      <c r="F2" s="1790"/>
      <c r="G2" s="1790"/>
      <c r="H2" s="1790"/>
      <c r="I2" s="1790"/>
      <c r="J2" s="1790"/>
      <c r="K2" s="1790"/>
      <c r="L2" s="1790"/>
      <c r="M2" s="1790"/>
      <c r="N2" s="1790"/>
      <c r="O2" s="1790"/>
      <c r="P2" s="1790"/>
      <c r="Q2" s="1790"/>
      <c r="R2" s="1790"/>
      <c r="S2" s="1790"/>
      <c r="T2" s="1790"/>
      <c r="U2" s="1790"/>
      <c r="V2" s="1790"/>
      <c r="W2" s="1790"/>
      <c r="X2" s="1790"/>
      <c r="Y2" s="1790"/>
      <c r="Z2" s="1790"/>
      <c r="AA2" s="1790"/>
      <c r="AB2" s="1790"/>
      <c r="AC2" s="1790"/>
      <c r="AD2" s="1790"/>
      <c r="AE2" s="1790"/>
    </row>
    <row r="3" spans="1:31" x14ac:dyDescent="0.25">
      <c r="A3" s="309" t="s">
        <v>474</v>
      </c>
      <c r="B3" s="320" t="s">
        <v>391</v>
      </c>
      <c r="C3" s="320" t="s">
        <v>1297</v>
      </c>
      <c r="D3" s="320" t="s">
        <v>1298</v>
      </c>
      <c r="E3" s="320" t="s">
        <v>1299</v>
      </c>
      <c r="F3" s="310" t="s">
        <v>738</v>
      </c>
      <c r="G3" s="846" t="s">
        <v>378</v>
      </c>
      <c r="H3" s="310" t="s">
        <v>596</v>
      </c>
      <c r="I3" s="846" t="s">
        <v>378</v>
      </c>
      <c r="J3" s="310" t="s">
        <v>1306</v>
      </c>
      <c r="K3" s="846" t="s">
        <v>378</v>
      </c>
      <c r="L3" s="310" t="s">
        <v>1052</v>
      </c>
      <c r="M3" s="846" t="s">
        <v>378</v>
      </c>
      <c r="N3" s="310" t="s">
        <v>274</v>
      </c>
      <c r="O3" s="846" t="s">
        <v>378</v>
      </c>
      <c r="P3" s="310" t="s">
        <v>1261</v>
      </c>
      <c r="Q3" s="846" t="s">
        <v>378</v>
      </c>
      <c r="R3" s="310" t="s">
        <v>363</v>
      </c>
      <c r="S3" s="846" t="s">
        <v>378</v>
      </c>
      <c r="T3" s="310" t="s">
        <v>583</v>
      </c>
      <c r="U3" s="846" t="s">
        <v>378</v>
      </c>
      <c r="V3" s="310" t="s">
        <v>1363</v>
      </c>
      <c r="W3" s="846" t="s">
        <v>378</v>
      </c>
      <c r="X3" s="310" t="s">
        <v>1388</v>
      </c>
      <c r="Y3" s="846" t="s">
        <v>378</v>
      </c>
      <c r="Z3" s="310" t="s">
        <v>1389</v>
      </c>
      <c r="AA3" s="846" t="s">
        <v>378</v>
      </c>
      <c r="AB3" s="310" t="s">
        <v>1377</v>
      </c>
      <c r="AC3" s="846" t="s">
        <v>378</v>
      </c>
      <c r="AD3" s="310" t="s">
        <v>1503</v>
      </c>
      <c r="AE3" s="846" t="s">
        <v>378</v>
      </c>
    </row>
    <row r="4" spans="1:31" x14ac:dyDescent="0.25">
      <c r="A4" s="437"/>
      <c r="B4" s="438"/>
      <c r="C4" s="438"/>
      <c r="D4" s="438"/>
      <c r="E4" s="438"/>
      <c r="F4" s="438"/>
      <c r="G4" s="438"/>
      <c r="H4" s="438"/>
      <c r="I4" s="438"/>
      <c r="J4" s="438"/>
      <c r="K4" s="438"/>
      <c r="L4" s="438"/>
      <c r="M4" s="438"/>
      <c r="N4" s="438"/>
      <c r="O4" s="438"/>
      <c r="P4" s="438"/>
      <c r="Q4" s="438"/>
      <c r="R4" s="438"/>
      <c r="S4" s="438"/>
      <c r="T4" s="438"/>
      <c r="U4" s="438"/>
      <c r="V4" s="438"/>
      <c r="W4" s="438"/>
      <c r="X4" s="438"/>
      <c r="Y4" s="438"/>
      <c r="Z4" s="438"/>
      <c r="AA4" s="438"/>
      <c r="AB4" s="438"/>
      <c r="AC4" s="438"/>
      <c r="AD4" s="438"/>
      <c r="AE4" s="438"/>
    </row>
    <row r="5" spans="1:31" x14ac:dyDescent="0.25">
      <c r="A5" s="809" t="s">
        <v>1123</v>
      </c>
      <c r="B5" s="847">
        <v>0</v>
      </c>
      <c r="C5" s="847">
        <v>0</v>
      </c>
      <c r="D5" s="847">
        <v>0</v>
      </c>
      <c r="E5" s="847">
        <v>0</v>
      </c>
      <c r="F5" s="810">
        <v>0</v>
      </c>
      <c r="G5" s="848">
        <f t="shared" ref="G5:G46" si="0">AVERAGE(B5:F5)</f>
        <v>0</v>
      </c>
      <c r="H5" s="810">
        <v>0</v>
      </c>
      <c r="I5" s="848">
        <f t="shared" ref="I5:I46" si="1">(+H5+F5+E5+D5+C5)/5</f>
        <v>0</v>
      </c>
      <c r="J5" s="810">
        <v>0</v>
      </c>
      <c r="K5" s="848">
        <f t="shared" ref="K5:K46" si="2">(+J5+H5+F5+E5+D5)/5</f>
        <v>0</v>
      </c>
      <c r="L5" s="810">
        <v>0</v>
      </c>
      <c r="M5" s="848">
        <f t="shared" ref="M5:M46" si="3">(L5+J5+H5+F5+E5)/5</f>
        <v>0</v>
      </c>
      <c r="N5" s="810">
        <v>0</v>
      </c>
      <c r="O5" s="848">
        <f t="shared" ref="O5:O46" si="4">(N5+L5+J5+H5+F5)/5</f>
        <v>0</v>
      </c>
      <c r="P5" s="810">
        <v>2</v>
      </c>
      <c r="Q5" s="848">
        <f t="shared" ref="Q5:Q46" si="5">(P5+N5+L5+J5+H5)/5</f>
        <v>0.4</v>
      </c>
      <c r="R5" s="810">
        <v>0</v>
      </c>
      <c r="S5" s="848">
        <f t="shared" ref="S5:S46" si="6">(R5+P5+N5+L5+J5)/5</f>
        <v>0.4</v>
      </c>
      <c r="T5" s="810">
        <v>1</v>
      </c>
      <c r="U5" s="848">
        <f t="shared" ref="U5:U46" si="7">(T5+R5+P5+N5+L5)/5</f>
        <v>0.6</v>
      </c>
      <c r="V5" s="810">
        <v>3</v>
      </c>
      <c r="W5" s="848">
        <f t="shared" ref="W5:W46" si="8">(V5+T5+R5+P5+N5)/5</f>
        <v>1.2</v>
      </c>
      <c r="X5" s="810">
        <v>2</v>
      </c>
      <c r="Y5" s="848">
        <f t="shared" ref="Y5:Y46" si="9">(X5+V5+T5+R5+P5)/5</f>
        <v>1.6</v>
      </c>
      <c r="Z5" s="810">
        <v>3</v>
      </c>
      <c r="AA5" s="848">
        <f t="shared" ref="AA5:AA46" si="10">(Z5+X5+V5+T5+R5)/5</f>
        <v>1.8</v>
      </c>
      <c r="AB5" s="810">
        <v>2</v>
      </c>
      <c r="AC5" s="848">
        <f t="shared" ref="AC5:AC46" si="11">(AB5+Z5+X5+V5+T5)/5</f>
        <v>2.2000000000000002</v>
      </c>
      <c r="AD5" s="810">
        <v>0</v>
      </c>
      <c r="AE5" s="848">
        <f t="shared" ref="AE5:AE24" si="12">(AD5+AB5+Z5+X5+V5)/5</f>
        <v>2</v>
      </c>
    </row>
    <row r="6" spans="1:31" x14ac:dyDescent="0.25">
      <c r="A6" s="209" t="s">
        <v>1124</v>
      </c>
      <c r="B6" s="847">
        <v>3</v>
      </c>
      <c r="C6" s="847">
        <v>3</v>
      </c>
      <c r="D6" s="847">
        <v>3</v>
      </c>
      <c r="E6" s="847">
        <v>5</v>
      </c>
      <c r="F6" s="210">
        <v>0</v>
      </c>
      <c r="G6" s="848">
        <f t="shared" si="0"/>
        <v>2.8</v>
      </c>
      <c r="H6" s="210">
        <v>0</v>
      </c>
      <c r="I6" s="848">
        <f t="shared" si="1"/>
        <v>2.2000000000000002</v>
      </c>
      <c r="J6" s="210">
        <v>1</v>
      </c>
      <c r="K6" s="848">
        <f t="shared" si="2"/>
        <v>1.8</v>
      </c>
      <c r="L6" s="210">
        <v>1</v>
      </c>
      <c r="M6" s="848">
        <f t="shared" si="3"/>
        <v>1.4</v>
      </c>
      <c r="N6" s="210">
        <v>1</v>
      </c>
      <c r="O6" s="848">
        <f t="shared" si="4"/>
        <v>0.6</v>
      </c>
      <c r="P6" s="210">
        <v>0</v>
      </c>
      <c r="Q6" s="848">
        <f t="shared" si="5"/>
        <v>0.6</v>
      </c>
      <c r="R6" s="210">
        <v>0</v>
      </c>
      <c r="S6" s="848">
        <f t="shared" si="6"/>
        <v>0.6</v>
      </c>
      <c r="T6" s="210">
        <v>0</v>
      </c>
      <c r="U6" s="848">
        <f t="shared" si="7"/>
        <v>0.4</v>
      </c>
      <c r="V6" s="210">
        <v>0</v>
      </c>
      <c r="W6" s="848">
        <f t="shared" si="8"/>
        <v>0.2</v>
      </c>
      <c r="X6" s="210">
        <v>0</v>
      </c>
      <c r="Y6" s="848">
        <f t="shared" si="9"/>
        <v>0</v>
      </c>
      <c r="Z6" s="210">
        <v>0</v>
      </c>
      <c r="AA6" s="848">
        <f t="shared" si="10"/>
        <v>0</v>
      </c>
      <c r="AB6" s="210">
        <v>0</v>
      </c>
      <c r="AC6" s="848">
        <f t="shared" si="11"/>
        <v>0</v>
      </c>
      <c r="AD6" s="210">
        <v>0</v>
      </c>
      <c r="AE6" s="848">
        <f t="shared" si="12"/>
        <v>0</v>
      </c>
    </row>
    <row r="7" spans="1:31" x14ac:dyDescent="0.25">
      <c r="A7" s="209" t="s">
        <v>1125</v>
      </c>
      <c r="B7" s="847">
        <v>1</v>
      </c>
      <c r="C7" s="847">
        <v>1</v>
      </c>
      <c r="D7" s="847">
        <v>0</v>
      </c>
      <c r="E7" s="847">
        <v>1</v>
      </c>
      <c r="F7" s="210">
        <v>0</v>
      </c>
      <c r="G7" s="848">
        <f t="shared" si="0"/>
        <v>0.6</v>
      </c>
      <c r="H7" s="210">
        <v>0</v>
      </c>
      <c r="I7" s="848">
        <f t="shared" si="1"/>
        <v>0.4</v>
      </c>
      <c r="J7" s="210">
        <v>1</v>
      </c>
      <c r="K7" s="848">
        <f t="shared" si="2"/>
        <v>0.4</v>
      </c>
      <c r="L7" s="210">
        <v>0</v>
      </c>
      <c r="M7" s="848">
        <f t="shared" si="3"/>
        <v>0.4</v>
      </c>
      <c r="N7" s="210">
        <v>0</v>
      </c>
      <c r="O7" s="848">
        <f t="shared" si="4"/>
        <v>0.2</v>
      </c>
      <c r="P7" s="210">
        <v>0</v>
      </c>
      <c r="Q7" s="848">
        <f t="shared" si="5"/>
        <v>0.2</v>
      </c>
      <c r="R7" s="210">
        <v>0</v>
      </c>
      <c r="S7" s="848">
        <f t="shared" si="6"/>
        <v>0.2</v>
      </c>
      <c r="T7" s="210">
        <v>0</v>
      </c>
      <c r="U7" s="848">
        <f t="shared" si="7"/>
        <v>0</v>
      </c>
      <c r="V7" s="210">
        <v>1</v>
      </c>
      <c r="W7" s="848">
        <f t="shared" si="8"/>
        <v>0.2</v>
      </c>
      <c r="X7" s="210">
        <v>1</v>
      </c>
      <c r="Y7" s="848">
        <f t="shared" si="9"/>
        <v>0.4</v>
      </c>
      <c r="Z7" s="210">
        <v>0</v>
      </c>
      <c r="AA7" s="848">
        <f t="shared" si="10"/>
        <v>0.4</v>
      </c>
      <c r="AB7" s="210">
        <v>0</v>
      </c>
      <c r="AC7" s="848">
        <f t="shared" si="11"/>
        <v>0.4</v>
      </c>
      <c r="AD7" s="210">
        <v>0</v>
      </c>
      <c r="AE7" s="848">
        <f t="shared" si="12"/>
        <v>0.4</v>
      </c>
    </row>
    <row r="8" spans="1:31" x14ac:dyDescent="0.25">
      <c r="A8" s="209" t="s">
        <v>1057</v>
      </c>
      <c r="B8" s="847">
        <v>2</v>
      </c>
      <c r="C8" s="847">
        <v>3</v>
      </c>
      <c r="D8" s="847">
        <v>3</v>
      </c>
      <c r="E8" s="847">
        <v>2</v>
      </c>
      <c r="F8" s="210">
        <v>11</v>
      </c>
      <c r="G8" s="848">
        <f t="shared" si="0"/>
        <v>4.2</v>
      </c>
      <c r="H8" s="210">
        <v>2</v>
      </c>
      <c r="I8" s="848">
        <f t="shared" si="1"/>
        <v>4.2</v>
      </c>
      <c r="J8" s="210">
        <v>9</v>
      </c>
      <c r="K8" s="848">
        <f t="shared" si="2"/>
        <v>5.4</v>
      </c>
      <c r="L8" s="210">
        <v>7</v>
      </c>
      <c r="M8" s="848">
        <f t="shared" si="3"/>
        <v>6.2</v>
      </c>
      <c r="N8" s="210">
        <v>12</v>
      </c>
      <c r="O8" s="848">
        <f t="shared" si="4"/>
        <v>8.1999999999999993</v>
      </c>
      <c r="P8" s="210">
        <v>5</v>
      </c>
      <c r="Q8" s="848">
        <f t="shared" si="5"/>
        <v>7</v>
      </c>
      <c r="R8" s="210">
        <v>3</v>
      </c>
      <c r="S8" s="848">
        <f t="shared" si="6"/>
        <v>7.2</v>
      </c>
      <c r="T8" s="210">
        <v>4</v>
      </c>
      <c r="U8" s="848">
        <f t="shared" si="7"/>
        <v>6.2</v>
      </c>
      <c r="V8" s="210">
        <v>1</v>
      </c>
      <c r="W8" s="848">
        <f t="shared" si="8"/>
        <v>5</v>
      </c>
      <c r="X8" s="210">
        <v>4</v>
      </c>
      <c r="Y8" s="848">
        <f t="shared" si="9"/>
        <v>3.4</v>
      </c>
      <c r="Z8" s="210">
        <v>0</v>
      </c>
      <c r="AA8" s="848">
        <f t="shared" si="10"/>
        <v>2.4</v>
      </c>
      <c r="AB8" s="210">
        <v>2</v>
      </c>
      <c r="AC8" s="848">
        <f t="shared" si="11"/>
        <v>2.2000000000000002</v>
      </c>
      <c r="AD8" s="210">
        <v>1</v>
      </c>
      <c r="AE8" s="848">
        <f t="shared" si="12"/>
        <v>1.6</v>
      </c>
    </row>
    <row r="9" spans="1:31" x14ac:dyDescent="0.25">
      <c r="A9" s="209" t="s">
        <v>1126</v>
      </c>
      <c r="B9" s="847">
        <v>12</v>
      </c>
      <c r="C9" s="847">
        <v>13</v>
      </c>
      <c r="D9" s="847">
        <v>11</v>
      </c>
      <c r="E9" s="847">
        <v>17</v>
      </c>
      <c r="F9" s="210">
        <v>15</v>
      </c>
      <c r="G9" s="848">
        <f t="shared" si="0"/>
        <v>13.6</v>
      </c>
      <c r="H9" s="210">
        <v>8</v>
      </c>
      <c r="I9" s="848">
        <f t="shared" si="1"/>
        <v>12.8</v>
      </c>
      <c r="J9" s="210">
        <f>2+1</f>
        <v>3</v>
      </c>
      <c r="K9" s="848">
        <f t="shared" si="2"/>
        <v>10.8</v>
      </c>
      <c r="L9" s="210">
        <v>3</v>
      </c>
      <c r="M9" s="848">
        <f t="shared" si="3"/>
        <v>9.1999999999999993</v>
      </c>
      <c r="N9" s="210">
        <v>3</v>
      </c>
      <c r="O9" s="848">
        <f t="shared" si="4"/>
        <v>6.4</v>
      </c>
      <c r="P9" s="210">
        <v>7</v>
      </c>
      <c r="Q9" s="848">
        <f t="shared" si="5"/>
        <v>4.8</v>
      </c>
      <c r="R9" s="210">
        <v>5</v>
      </c>
      <c r="S9" s="848">
        <f t="shared" si="6"/>
        <v>4.2</v>
      </c>
      <c r="T9" s="210">
        <v>7</v>
      </c>
      <c r="U9" s="848">
        <f t="shared" si="7"/>
        <v>5</v>
      </c>
      <c r="V9" s="210">
        <v>7</v>
      </c>
      <c r="W9" s="848">
        <f t="shared" si="8"/>
        <v>5.8</v>
      </c>
      <c r="X9" s="210">
        <v>4</v>
      </c>
      <c r="Y9" s="848">
        <f t="shared" si="9"/>
        <v>6</v>
      </c>
      <c r="Z9" s="210">
        <v>3</v>
      </c>
      <c r="AA9" s="848">
        <f t="shared" si="10"/>
        <v>5.2</v>
      </c>
      <c r="AB9" s="210">
        <v>7</v>
      </c>
      <c r="AC9" s="848">
        <f t="shared" si="11"/>
        <v>5.6</v>
      </c>
      <c r="AD9" s="210">
        <v>6</v>
      </c>
      <c r="AE9" s="848">
        <f t="shared" si="12"/>
        <v>5.4</v>
      </c>
    </row>
    <row r="10" spans="1:31" x14ac:dyDescent="0.25">
      <c r="A10" s="311" t="s">
        <v>1058</v>
      </c>
      <c r="B10" s="847">
        <v>3</v>
      </c>
      <c r="C10" s="847">
        <v>2</v>
      </c>
      <c r="D10" s="847">
        <v>2</v>
      </c>
      <c r="E10" s="847">
        <v>0</v>
      </c>
      <c r="F10" s="210">
        <v>1</v>
      </c>
      <c r="G10" s="848">
        <f t="shared" si="0"/>
        <v>1.6</v>
      </c>
      <c r="H10" s="210">
        <v>0</v>
      </c>
      <c r="I10" s="848">
        <f t="shared" si="1"/>
        <v>1</v>
      </c>
      <c r="J10" s="210">
        <v>1</v>
      </c>
      <c r="K10" s="848">
        <f t="shared" si="2"/>
        <v>0.8</v>
      </c>
      <c r="L10" s="210">
        <v>3</v>
      </c>
      <c r="M10" s="848">
        <f t="shared" si="3"/>
        <v>1</v>
      </c>
      <c r="N10" s="210">
        <v>2</v>
      </c>
      <c r="O10" s="848">
        <f t="shared" si="4"/>
        <v>1.4</v>
      </c>
      <c r="P10" s="210">
        <v>3</v>
      </c>
      <c r="Q10" s="848">
        <f t="shared" si="5"/>
        <v>1.8</v>
      </c>
      <c r="R10" s="210">
        <v>3</v>
      </c>
      <c r="S10" s="848">
        <f t="shared" si="6"/>
        <v>2.4</v>
      </c>
      <c r="T10" s="210">
        <v>2</v>
      </c>
      <c r="U10" s="848">
        <f t="shared" si="7"/>
        <v>2.6</v>
      </c>
      <c r="V10" s="210">
        <v>1</v>
      </c>
      <c r="W10" s="848">
        <f t="shared" si="8"/>
        <v>2.2000000000000002</v>
      </c>
      <c r="X10" s="210">
        <v>1</v>
      </c>
      <c r="Y10" s="848">
        <f t="shared" si="9"/>
        <v>2</v>
      </c>
      <c r="Z10" s="210">
        <v>2</v>
      </c>
      <c r="AA10" s="848">
        <f t="shared" si="10"/>
        <v>1.8</v>
      </c>
      <c r="AB10" s="210">
        <v>4</v>
      </c>
      <c r="AC10" s="848">
        <f t="shared" si="11"/>
        <v>2</v>
      </c>
      <c r="AD10" s="210">
        <v>2</v>
      </c>
      <c r="AE10" s="848">
        <f t="shared" si="12"/>
        <v>2</v>
      </c>
    </row>
    <row r="11" spans="1:31" x14ac:dyDescent="0.25">
      <c r="A11" s="1009" t="s">
        <v>1127</v>
      </c>
      <c r="B11" s="847">
        <v>6</v>
      </c>
      <c r="C11" s="847">
        <v>2</v>
      </c>
      <c r="D11" s="847">
        <v>4</v>
      </c>
      <c r="E11" s="847">
        <v>7</v>
      </c>
      <c r="F11" s="210">
        <v>10</v>
      </c>
      <c r="G11" s="848">
        <f t="shared" si="0"/>
        <v>5.8</v>
      </c>
      <c r="H11" s="210">
        <v>0</v>
      </c>
      <c r="I11" s="848">
        <f t="shared" si="1"/>
        <v>4.5999999999999996</v>
      </c>
      <c r="J11" s="210">
        <v>2</v>
      </c>
      <c r="K11" s="848">
        <f t="shared" si="2"/>
        <v>4.5999999999999996</v>
      </c>
      <c r="L11" s="210">
        <v>3</v>
      </c>
      <c r="M11" s="848">
        <f t="shared" si="3"/>
        <v>4.4000000000000004</v>
      </c>
      <c r="N11" s="210">
        <v>3</v>
      </c>
      <c r="O11" s="848">
        <f t="shared" si="4"/>
        <v>3.6</v>
      </c>
      <c r="P11" s="210">
        <v>2</v>
      </c>
      <c r="Q11" s="848">
        <f t="shared" si="5"/>
        <v>2</v>
      </c>
      <c r="R11" s="210">
        <v>2</v>
      </c>
      <c r="S11" s="848">
        <f t="shared" si="6"/>
        <v>2.4</v>
      </c>
      <c r="T11" s="210">
        <v>0</v>
      </c>
      <c r="U11" s="848">
        <f t="shared" si="7"/>
        <v>2</v>
      </c>
      <c r="V11" s="210">
        <v>1</v>
      </c>
      <c r="W11" s="848">
        <f t="shared" si="8"/>
        <v>1.6</v>
      </c>
      <c r="X11" s="210">
        <v>1</v>
      </c>
      <c r="Y11" s="848">
        <f t="shared" si="9"/>
        <v>1.2</v>
      </c>
      <c r="Z11" s="210">
        <v>0</v>
      </c>
      <c r="AA11" s="848">
        <f t="shared" si="10"/>
        <v>0.8</v>
      </c>
      <c r="AB11" s="210">
        <v>0</v>
      </c>
      <c r="AC11" s="848">
        <f t="shared" si="11"/>
        <v>0.4</v>
      </c>
      <c r="AD11" s="210">
        <v>0</v>
      </c>
      <c r="AE11" s="848">
        <f t="shared" si="12"/>
        <v>0.4</v>
      </c>
    </row>
    <row r="12" spans="1:31" x14ac:dyDescent="0.25">
      <c r="A12" s="209" t="s">
        <v>1128</v>
      </c>
      <c r="B12" s="847">
        <v>1</v>
      </c>
      <c r="C12" s="847">
        <v>0</v>
      </c>
      <c r="D12" s="847">
        <v>6</v>
      </c>
      <c r="E12" s="847">
        <v>5</v>
      </c>
      <c r="F12" s="210">
        <v>4</v>
      </c>
      <c r="G12" s="848">
        <f t="shared" si="0"/>
        <v>3.2</v>
      </c>
      <c r="H12" s="210">
        <v>3</v>
      </c>
      <c r="I12" s="848">
        <f t="shared" si="1"/>
        <v>3.6</v>
      </c>
      <c r="J12" s="210">
        <v>1</v>
      </c>
      <c r="K12" s="848">
        <f t="shared" si="2"/>
        <v>3.8</v>
      </c>
      <c r="L12" s="210">
        <v>0</v>
      </c>
      <c r="M12" s="848">
        <f t="shared" si="3"/>
        <v>2.6</v>
      </c>
      <c r="N12" s="210">
        <v>0</v>
      </c>
      <c r="O12" s="848">
        <f t="shared" si="4"/>
        <v>1.6</v>
      </c>
      <c r="P12" s="210">
        <v>1</v>
      </c>
      <c r="Q12" s="848">
        <f t="shared" si="5"/>
        <v>1</v>
      </c>
      <c r="R12" s="210">
        <v>0</v>
      </c>
      <c r="S12" s="848">
        <f t="shared" si="6"/>
        <v>0.4</v>
      </c>
      <c r="T12" s="210">
        <v>0</v>
      </c>
      <c r="U12" s="848">
        <f t="shared" si="7"/>
        <v>0.2</v>
      </c>
      <c r="V12" s="210">
        <v>0</v>
      </c>
      <c r="W12" s="848">
        <f t="shared" si="8"/>
        <v>0.2</v>
      </c>
      <c r="X12" s="210">
        <v>0</v>
      </c>
      <c r="Y12" s="848">
        <f t="shared" si="9"/>
        <v>0.2</v>
      </c>
      <c r="Z12" s="210">
        <v>0</v>
      </c>
      <c r="AA12" s="848">
        <f t="shared" si="10"/>
        <v>0</v>
      </c>
      <c r="AB12" s="210">
        <v>0</v>
      </c>
      <c r="AC12" s="848">
        <f t="shared" si="11"/>
        <v>0</v>
      </c>
      <c r="AD12" s="210">
        <v>0</v>
      </c>
      <c r="AE12" s="848">
        <f t="shared" si="12"/>
        <v>0</v>
      </c>
    </row>
    <row r="13" spans="1:31" x14ac:dyDescent="0.25">
      <c r="A13" s="209" t="s">
        <v>1221</v>
      </c>
      <c r="B13" s="847">
        <v>0</v>
      </c>
      <c r="C13" s="847">
        <v>2</v>
      </c>
      <c r="D13" s="847">
        <v>1</v>
      </c>
      <c r="E13" s="847">
        <v>1</v>
      </c>
      <c r="F13" s="210">
        <v>1</v>
      </c>
      <c r="G13" s="848">
        <f t="shared" si="0"/>
        <v>1</v>
      </c>
      <c r="H13" s="210">
        <v>0</v>
      </c>
      <c r="I13" s="848">
        <f t="shared" si="1"/>
        <v>1</v>
      </c>
      <c r="J13" s="210">
        <v>1</v>
      </c>
      <c r="K13" s="848">
        <f t="shared" si="2"/>
        <v>0.8</v>
      </c>
      <c r="L13" s="210">
        <v>0</v>
      </c>
      <c r="M13" s="848">
        <f t="shared" si="3"/>
        <v>0.6</v>
      </c>
      <c r="N13" s="210">
        <v>0</v>
      </c>
      <c r="O13" s="848">
        <f t="shared" si="4"/>
        <v>0.4</v>
      </c>
      <c r="P13" s="210">
        <v>0</v>
      </c>
      <c r="Q13" s="848">
        <f t="shared" si="5"/>
        <v>0.2</v>
      </c>
      <c r="R13" s="210">
        <v>1</v>
      </c>
      <c r="S13" s="848">
        <f t="shared" si="6"/>
        <v>0.4</v>
      </c>
      <c r="T13" s="210">
        <v>0</v>
      </c>
      <c r="U13" s="848">
        <f t="shared" si="7"/>
        <v>0.2</v>
      </c>
      <c r="V13" s="210">
        <v>0</v>
      </c>
      <c r="W13" s="848">
        <f t="shared" si="8"/>
        <v>0.2</v>
      </c>
      <c r="X13" s="210">
        <v>0</v>
      </c>
      <c r="Y13" s="848">
        <f t="shared" si="9"/>
        <v>0.2</v>
      </c>
      <c r="Z13" s="210">
        <v>0</v>
      </c>
      <c r="AA13" s="848">
        <f t="shared" si="10"/>
        <v>0.2</v>
      </c>
      <c r="AB13" s="210">
        <v>0</v>
      </c>
      <c r="AC13" s="848">
        <f t="shared" si="11"/>
        <v>0</v>
      </c>
      <c r="AD13" s="210">
        <v>0</v>
      </c>
      <c r="AE13" s="848">
        <f t="shared" si="12"/>
        <v>0</v>
      </c>
    </row>
    <row r="14" spans="1:31" x14ac:dyDescent="0.25">
      <c r="A14" s="311" t="s">
        <v>1129</v>
      </c>
      <c r="B14" s="847">
        <v>1</v>
      </c>
      <c r="C14" s="847">
        <v>1</v>
      </c>
      <c r="D14" s="847">
        <v>1</v>
      </c>
      <c r="E14" s="847">
        <v>3</v>
      </c>
      <c r="F14" s="210">
        <v>0</v>
      </c>
      <c r="G14" s="848">
        <f t="shared" si="0"/>
        <v>1.2</v>
      </c>
      <c r="H14" s="210">
        <v>2</v>
      </c>
      <c r="I14" s="848">
        <f t="shared" si="1"/>
        <v>1.4</v>
      </c>
      <c r="J14" s="210">
        <v>0</v>
      </c>
      <c r="K14" s="848">
        <f t="shared" si="2"/>
        <v>1.2</v>
      </c>
      <c r="L14" s="210">
        <v>1</v>
      </c>
      <c r="M14" s="848">
        <f t="shared" si="3"/>
        <v>1.2</v>
      </c>
      <c r="N14" s="210">
        <v>3</v>
      </c>
      <c r="O14" s="848">
        <f t="shared" si="4"/>
        <v>1.2</v>
      </c>
      <c r="P14" s="210">
        <v>3</v>
      </c>
      <c r="Q14" s="848">
        <f t="shared" si="5"/>
        <v>1.8</v>
      </c>
      <c r="R14" s="210">
        <v>3</v>
      </c>
      <c r="S14" s="848">
        <f t="shared" si="6"/>
        <v>2</v>
      </c>
      <c r="T14" s="210">
        <v>1</v>
      </c>
      <c r="U14" s="848">
        <f t="shared" si="7"/>
        <v>2.2000000000000002</v>
      </c>
      <c r="V14" s="210">
        <v>1</v>
      </c>
      <c r="W14" s="848">
        <f t="shared" si="8"/>
        <v>2.2000000000000002</v>
      </c>
      <c r="X14" s="210">
        <v>1</v>
      </c>
      <c r="Y14" s="848">
        <f t="shared" si="9"/>
        <v>1.8</v>
      </c>
      <c r="Z14" s="210">
        <v>0</v>
      </c>
      <c r="AA14" s="848">
        <f t="shared" si="10"/>
        <v>1.2</v>
      </c>
      <c r="AB14" s="210">
        <v>0</v>
      </c>
      <c r="AC14" s="848">
        <f t="shared" si="11"/>
        <v>0.6</v>
      </c>
      <c r="AD14" s="210">
        <v>0</v>
      </c>
      <c r="AE14" s="848">
        <f t="shared" si="12"/>
        <v>0.4</v>
      </c>
    </row>
    <row r="15" spans="1:31" x14ac:dyDescent="0.25">
      <c r="A15" s="1431" t="s">
        <v>1562</v>
      </c>
      <c r="B15" s="847">
        <v>0</v>
      </c>
      <c r="C15" s="847">
        <v>0</v>
      </c>
      <c r="D15" s="847">
        <v>0</v>
      </c>
      <c r="E15" s="847">
        <v>0</v>
      </c>
      <c r="F15" s="210">
        <v>0</v>
      </c>
      <c r="G15" s="848">
        <f t="shared" si="0"/>
        <v>0</v>
      </c>
      <c r="H15" s="210">
        <v>0</v>
      </c>
      <c r="I15" s="848">
        <f t="shared" si="1"/>
        <v>0</v>
      </c>
      <c r="J15" s="210">
        <v>0</v>
      </c>
      <c r="K15" s="848">
        <f t="shared" si="2"/>
        <v>0</v>
      </c>
      <c r="L15" s="210">
        <v>0</v>
      </c>
      <c r="M15" s="848">
        <f t="shared" si="3"/>
        <v>0</v>
      </c>
      <c r="N15" s="210">
        <v>0</v>
      </c>
      <c r="O15" s="848">
        <f t="shared" si="4"/>
        <v>0</v>
      </c>
      <c r="P15" s="210">
        <v>0</v>
      </c>
      <c r="Q15" s="848">
        <f t="shared" si="5"/>
        <v>0</v>
      </c>
      <c r="R15" s="210">
        <v>0</v>
      </c>
      <c r="S15" s="848">
        <f t="shared" si="6"/>
        <v>0</v>
      </c>
      <c r="T15" s="210">
        <v>0</v>
      </c>
      <c r="U15" s="848">
        <f t="shared" si="7"/>
        <v>0</v>
      </c>
      <c r="V15" s="210">
        <v>0</v>
      </c>
      <c r="W15" s="848">
        <f t="shared" si="8"/>
        <v>0</v>
      </c>
      <c r="X15" s="210">
        <v>0</v>
      </c>
      <c r="Y15" s="848">
        <f t="shared" si="9"/>
        <v>0</v>
      </c>
      <c r="Z15" s="210">
        <v>0</v>
      </c>
      <c r="AA15" s="848">
        <f t="shared" si="10"/>
        <v>0</v>
      </c>
      <c r="AB15" s="210">
        <v>0</v>
      </c>
      <c r="AC15" s="848">
        <f t="shared" si="11"/>
        <v>0</v>
      </c>
      <c r="AD15" s="210">
        <v>1</v>
      </c>
      <c r="AE15" s="848">
        <f t="shared" si="12"/>
        <v>0.2</v>
      </c>
    </row>
    <row r="16" spans="1:31" x14ac:dyDescent="0.25">
      <c r="A16" s="311" t="s">
        <v>1130</v>
      </c>
      <c r="B16" s="847">
        <v>0</v>
      </c>
      <c r="C16" s="847">
        <v>0</v>
      </c>
      <c r="D16" s="847">
        <v>0</v>
      </c>
      <c r="E16" s="847">
        <v>0</v>
      </c>
      <c r="F16" s="210">
        <v>1</v>
      </c>
      <c r="G16" s="848">
        <f t="shared" si="0"/>
        <v>0.2</v>
      </c>
      <c r="H16" s="210">
        <v>0</v>
      </c>
      <c r="I16" s="848">
        <f t="shared" si="1"/>
        <v>0.2</v>
      </c>
      <c r="J16" s="210">
        <v>1</v>
      </c>
      <c r="K16" s="848">
        <f t="shared" si="2"/>
        <v>0.4</v>
      </c>
      <c r="L16" s="210">
        <v>0</v>
      </c>
      <c r="M16" s="848">
        <f t="shared" si="3"/>
        <v>0.4</v>
      </c>
      <c r="N16" s="210">
        <v>0</v>
      </c>
      <c r="O16" s="848">
        <f t="shared" si="4"/>
        <v>0.4</v>
      </c>
      <c r="P16" s="210">
        <v>2</v>
      </c>
      <c r="Q16" s="848">
        <f t="shared" si="5"/>
        <v>0.6</v>
      </c>
      <c r="R16" s="210">
        <v>0</v>
      </c>
      <c r="S16" s="848">
        <f t="shared" si="6"/>
        <v>0.6</v>
      </c>
      <c r="T16" s="210">
        <v>2</v>
      </c>
      <c r="U16" s="848">
        <f t="shared" si="7"/>
        <v>0.8</v>
      </c>
      <c r="V16" s="210">
        <v>1</v>
      </c>
      <c r="W16" s="848">
        <f t="shared" si="8"/>
        <v>1</v>
      </c>
      <c r="X16" s="210">
        <v>1</v>
      </c>
      <c r="Y16" s="848">
        <f t="shared" si="9"/>
        <v>1.2</v>
      </c>
      <c r="Z16" s="210">
        <v>0</v>
      </c>
      <c r="AA16" s="848">
        <f t="shared" si="10"/>
        <v>0.8</v>
      </c>
      <c r="AB16" s="210">
        <v>0</v>
      </c>
      <c r="AC16" s="848">
        <f t="shared" si="11"/>
        <v>0.8</v>
      </c>
      <c r="AD16" s="210">
        <v>0</v>
      </c>
      <c r="AE16" s="848">
        <f t="shared" si="12"/>
        <v>0.4</v>
      </c>
    </row>
    <row r="17" spans="1:31" x14ac:dyDescent="0.25">
      <c r="A17" s="209" t="s">
        <v>1079</v>
      </c>
      <c r="B17" s="847">
        <v>0</v>
      </c>
      <c r="C17" s="847">
        <v>3</v>
      </c>
      <c r="D17" s="847">
        <v>1</v>
      </c>
      <c r="E17" s="847">
        <v>0</v>
      </c>
      <c r="F17" s="210">
        <v>1</v>
      </c>
      <c r="G17" s="848">
        <f t="shared" si="0"/>
        <v>1</v>
      </c>
      <c r="H17" s="210">
        <v>0</v>
      </c>
      <c r="I17" s="848">
        <f t="shared" si="1"/>
        <v>1</v>
      </c>
      <c r="J17" s="210">
        <v>1</v>
      </c>
      <c r="K17" s="848">
        <f t="shared" si="2"/>
        <v>0.6</v>
      </c>
      <c r="L17" s="210">
        <v>1</v>
      </c>
      <c r="M17" s="848">
        <f t="shared" si="3"/>
        <v>0.6</v>
      </c>
      <c r="N17" s="210">
        <v>1</v>
      </c>
      <c r="O17" s="848">
        <f t="shared" si="4"/>
        <v>0.8</v>
      </c>
      <c r="P17" s="210">
        <v>0</v>
      </c>
      <c r="Q17" s="848">
        <f t="shared" si="5"/>
        <v>0.6</v>
      </c>
      <c r="R17" s="210">
        <v>0</v>
      </c>
      <c r="S17" s="848">
        <f t="shared" si="6"/>
        <v>0.6</v>
      </c>
      <c r="T17" s="210">
        <v>0</v>
      </c>
      <c r="U17" s="848">
        <f t="shared" si="7"/>
        <v>0.4</v>
      </c>
      <c r="V17" s="210">
        <v>2</v>
      </c>
      <c r="W17" s="848">
        <f t="shared" si="8"/>
        <v>0.6</v>
      </c>
      <c r="X17" s="210">
        <v>1</v>
      </c>
      <c r="Y17" s="848">
        <f t="shared" si="9"/>
        <v>0.6</v>
      </c>
      <c r="Z17" s="210">
        <v>0</v>
      </c>
      <c r="AA17" s="848">
        <f t="shared" si="10"/>
        <v>0.6</v>
      </c>
      <c r="AB17" s="210">
        <v>0</v>
      </c>
      <c r="AC17" s="848">
        <f t="shared" si="11"/>
        <v>0.6</v>
      </c>
      <c r="AD17" s="210">
        <v>1</v>
      </c>
      <c r="AE17" s="848">
        <f t="shared" si="12"/>
        <v>0.8</v>
      </c>
    </row>
    <row r="18" spans="1:31" x14ac:dyDescent="0.25">
      <c r="A18" s="209" t="s">
        <v>774</v>
      </c>
      <c r="B18" s="847">
        <v>0</v>
      </c>
      <c r="C18" s="847">
        <v>0</v>
      </c>
      <c r="D18" s="847">
        <v>0</v>
      </c>
      <c r="E18" s="847">
        <v>0</v>
      </c>
      <c r="F18" s="210">
        <v>1</v>
      </c>
      <c r="G18" s="848">
        <f t="shared" si="0"/>
        <v>0.2</v>
      </c>
      <c r="H18" s="210">
        <v>0</v>
      </c>
      <c r="I18" s="848">
        <f t="shared" si="1"/>
        <v>0.2</v>
      </c>
      <c r="J18" s="210">
        <v>0</v>
      </c>
      <c r="K18" s="848">
        <f t="shared" si="2"/>
        <v>0.2</v>
      </c>
      <c r="L18" s="210">
        <v>0</v>
      </c>
      <c r="M18" s="848">
        <f t="shared" si="3"/>
        <v>0.2</v>
      </c>
      <c r="N18" s="210">
        <v>0</v>
      </c>
      <c r="O18" s="848">
        <f t="shared" si="4"/>
        <v>0.2</v>
      </c>
      <c r="P18" s="210">
        <v>1</v>
      </c>
      <c r="Q18" s="848">
        <f t="shared" si="5"/>
        <v>0.2</v>
      </c>
      <c r="R18" s="210">
        <v>0</v>
      </c>
      <c r="S18" s="848">
        <f t="shared" si="6"/>
        <v>0.2</v>
      </c>
      <c r="T18" s="210">
        <v>0</v>
      </c>
      <c r="U18" s="848">
        <f t="shared" si="7"/>
        <v>0.2</v>
      </c>
      <c r="V18" s="210">
        <v>0</v>
      </c>
      <c r="W18" s="848">
        <f t="shared" si="8"/>
        <v>0.2</v>
      </c>
      <c r="X18" s="210">
        <v>0</v>
      </c>
      <c r="Y18" s="848">
        <f t="shared" si="9"/>
        <v>0.2</v>
      </c>
      <c r="Z18" s="210">
        <v>0</v>
      </c>
      <c r="AA18" s="848">
        <f t="shared" si="10"/>
        <v>0</v>
      </c>
      <c r="AB18" s="210">
        <v>0</v>
      </c>
      <c r="AC18" s="848">
        <f t="shared" si="11"/>
        <v>0</v>
      </c>
      <c r="AD18" s="210">
        <v>0</v>
      </c>
      <c r="AE18" s="848">
        <f t="shared" si="12"/>
        <v>0</v>
      </c>
    </row>
    <row r="19" spans="1:31" x14ac:dyDescent="0.25">
      <c r="A19" s="1009" t="s">
        <v>1461</v>
      </c>
      <c r="B19" s="847">
        <v>0</v>
      </c>
      <c r="C19" s="847">
        <v>0</v>
      </c>
      <c r="D19" s="847">
        <v>0</v>
      </c>
      <c r="E19" s="847">
        <v>0</v>
      </c>
      <c r="F19" s="210">
        <v>0</v>
      </c>
      <c r="G19" s="848">
        <f t="shared" si="0"/>
        <v>0</v>
      </c>
      <c r="H19" s="210">
        <v>0</v>
      </c>
      <c r="I19" s="848">
        <f t="shared" si="1"/>
        <v>0</v>
      </c>
      <c r="J19" s="210">
        <v>0</v>
      </c>
      <c r="K19" s="848">
        <f t="shared" si="2"/>
        <v>0</v>
      </c>
      <c r="L19" s="210">
        <v>0</v>
      </c>
      <c r="M19" s="848">
        <f t="shared" si="3"/>
        <v>0</v>
      </c>
      <c r="N19" s="210">
        <v>0</v>
      </c>
      <c r="O19" s="848">
        <f t="shared" si="4"/>
        <v>0</v>
      </c>
      <c r="P19" s="210">
        <v>0</v>
      </c>
      <c r="Q19" s="848">
        <f t="shared" si="5"/>
        <v>0</v>
      </c>
      <c r="R19" s="210">
        <v>0</v>
      </c>
      <c r="S19" s="848">
        <f t="shared" si="6"/>
        <v>0</v>
      </c>
      <c r="T19" s="210">
        <v>0</v>
      </c>
      <c r="U19" s="848">
        <f t="shared" si="7"/>
        <v>0</v>
      </c>
      <c r="V19" s="210">
        <v>0</v>
      </c>
      <c r="W19" s="848">
        <f t="shared" si="8"/>
        <v>0</v>
      </c>
      <c r="X19" s="210">
        <v>0</v>
      </c>
      <c r="Y19" s="848">
        <f t="shared" si="9"/>
        <v>0</v>
      </c>
      <c r="Z19" s="210">
        <v>3</v>
      </c>
      <c r="AA19" s="848">
        <f t="shared" si="10"/>
        <v>0.6</v>
      </c>
      <c r="AB19" s="210">
        <v>0</v>
      </c>
      <c r="AC19" s="848">
        <f t="shared" si="11"/>
        <v>0.6</v>
      </c>
      <c r="AD19" s="210">
        <v>0</v>
      </c>
      <c r="AE19" s="848">
        <f t="shared" si="12"/>
        <v>0.6</v>
      </c>
    </row>
    <row r="20" spans="1:31" x14ac:dyDescent="0.25">
      <c r="A20" s="209" t="s">
        <v>1060</v>
      </c>
      <c r="B20" s="847">
        <v>0</v>
      </c>
      <c r="C20" s="847">
        <v>0</v>
      </c>
      <c r="D20" s="847">
        <v>0</v>
      </c>
      <c r="E20" s="847">
        <v>1</v>
      </c>
      <c r="F20" s="210">
        <v>0</v>
      </c>
      <c r="G20" s="848">
        <f t="shared" si="0"/>
        <v>0.2</v>
      </c>
      <c r="H20" s="210">
        <v>3</v>
      </c>
      <c r="I20" s="848">
        <f t="shared" si="1"/>
        <v>0.8</v>
      </c>
      <c r="J20" s="210">
        <v>0</v>
      </c>
      <c r="K20" s="848">
        <f t="shared" si="2"/>
        <v>0.8</v>
      </c>
      <c r="L20" s="210">
        <v>1</v>
      </c>
      <c r="M20" s="848">
        <f t="shared" si="3"/>
        <v>1</v>
      </c>
      <c r="N20" s="210">
        <v>1</v>
      </c>
      <c r="O20" s="848">
        <f t="shared" si="4"/>
        <v>1</v>
      </c>
      <c r="P20" s="210">
        <v>0</v>
      </c>
      <c r="Q20" s="848">
        <f t="shared" si="5"/>
        <v>1</v>
      </c>
      <c r="R20" s="210">
        <v>0</v>
      </c>
      <c r="S20" s="848">
        <f t="shared" si="6"/>
        <v>0.4</v>
      </c>
      <c r="T20" s="210">
        <v>0</v>
      </c>
      <c r="U20" s="848">
        <f t="shared" si="7"/>
        <v>0.4</v>
      </c>
      <c r="V20" s="210">
        <v>0</v>
      </c>
      <c r="W20" s="848">
        <f t="shared" si="8"/>
        <v>0.2</v>
      </c>
      <c r="X20" s="210">
        <v>0</v>
      </c>
      <c r="Y20" s="848">
        <f t="shared" si="9"/>
        <v>0</v>
      </c>
      <c r="Z20" s="210">
        <v>0</v>
      </c>
      <c r="AA20" s="848">
        <f t="shared" si="10"/>
        <v>0</v>
      </c>
      <c r="AB20" s="210">
        <v>0</v>
      </c>
      <c r="AC20" s="848">
        <f t="shared" si="11"/>
        <v>0</v>
      </c>
      <c r="AD20" s="210">
        <v>2</v>
      </c>
      <c r="AE20" s="848">
        <f t="shared" si="12"/>
        <v>0.4</v>
      </c>
    </row>
    <row r="21" spans="1:31" x14ac:dyDescent="0.25">
      <c r="A21" s="209" t="s">
        <v>1132</v>
      </c>
      <c r="B21" s="847">
        <v>0</v>
      </c>
      <c r="C21" s="847">
        <v>0</v>
      </c>
      <c r="D21" s="847">
        <v>0</v>
      </c>
      <c r="E21" s="847">
        <v>1</v>
      </c>
      <c r="F21" s="210">
        <v>1</v>
      </c>
      <c r="G21" s="848">
        <f t="shared" si="0"/>
        <v>0.4</v>
      </c>
      <c r="H21" s="210">
        <v>0</v>
      </c>
      <c r="I21" s="848">
        <f t="shared" si="1"/>
        <v>0.4</v>
      </c>
      <c r="J21" s="210">
        <v>1</v>
      </c>
      <c r="K21" s="848">
        <f t="shared" si="2"/>
        <v>0.6</v>
      </c>
      <c r="L21" s="210">
        <v>1</v>
      </c>
      <c r="M21" s="848">
        <f t="shared" si="3"/>
        <v>0.8</v>
      </c>
      <c r="N21" s="210">
        <v>0</v>
      </c>
      <c r="O21" s="848">
        <f t="shared" si="4"/>
        <v>0.6</v>
      </c>
      <c r="P21" s="210">
        <v>0</v>
      </c>
      <c r="Q21" s="848">
        <f t="shared" si="5"/>
        <v>0.4</v>
      </c>
      <c r="R21" s="210">
        <v>0</v>
      </c>
      <c r="S21" s="848">
        <f t="shared" si="6"/>
        <v>0.4</v>
      </c>
      <c r="T21" s="210">
        <v>0</v>
      </c>
      <c r="U21" s="848">
        <f t="shared" si="7"/>
        <v>0.2</v>
      </c>
      <c r="V21" s="210">
        <v>0</v>
      </c>
      <c r="W21" s="848">
        <f t="shared" si="8"/>
        <v>0</v>
      </c>
      <c r="X21" s="210">
        <v>1</v>
      </c>
      <c r="Y21" s="848">
        <f t="shared" si="9"/>
        <v>0.2</v>
      </c>
      <c r="Z21" s="210">
        <v>0</v>
      </c>
      <c r="AA21" s="848">
        <f t="shared" si="10"/>
        <v>0.2</v>
      </c>
      <c r="AB21" s="210">
        <v>1</v>
      </c>
      <c r="AC21" s="848">
        <f t="shared" si="11"/>
        <v>0.4</v>
      </c>
      <c r="AD21" s="210">
        <v>1</v>
      </c>
      <c r="AE21" s="848">
        <f t="shared" si="12"/>
        <v>0.6</v>
      </c>
    </row>
    <row r="22" spans="1:31" x14ac:dyDescent="0.25">
      <c r="A22" s="209" t="s">
        <v>577</v>
      </c>
      <c r="B22" s="847">
        <v>4</v>
      </c>
      <c r="C22" s="847">
        <v>0</v>
      </c>
      <c r="D22" s="847">
        <v>1</v>
      </c>
      <c r="E22" s="847">
        <v>0</v>
      </c>
      <c r="F22" s="210">
        <v>0</v>
      </c>
      <c r="G22" s="848">
        <f t="shared" si="0"/>
        <v>1</v>
      </c>
      <c r="H22" s="210">
        <v>0</v>
      </c>
      <c r="I22" s="848">
        <f t="shared" si="1"/>
        <v>0.2</v>
      </c>
      <c r="J22" s="210">
        <v>0</v>
      </c>
      <c r="K22" s="848">
        <f t="shared" si="2"/>
        <v>0.2</v>
      </c>
      <c r="L22" s="210">
        <v>2</v>
      </c>
      <c r="M22" s="848">
        <f t="shared" si="3"/>
        <v>0.4</v>
      </c>
      <c r="N22" s="210">
        <v>1</v>
      </c>
      <c r="O22" s="848">
        <f t="shared" si="4"/>
        <v>0.6</v>
      </c>
      <c r="P22" s="210">
        <v>1</v>
      </c>
      <c r="Q22" s="848">
        <f t="shared" si="5"/>
        <v>0.8</v>
      </c>
      <c r="R22" s="210">
        <v>0</v>
      </c>
      <c r="S22" s="848">
        <f t="shared" si="6"/>
        <v>0.8</v>
      </c>
      <c r="T22" s="210">
        <v>0</v>
      </c>
      <c r="U22" s="848">
        <f t="shared" si="7"/>
        <v>0.8</v>
      </c>
      <c r="V22" s="210">
        <v>0</v>
      </c>
      <c r="W22" s="848">
        <f t="shared" si="8"/>
        <v>0.4</v>
      </c>
      <c r="X22" s="210">
        <v>0</v>
      </c>
      <c r="Y22" s="848">
        <f t="shared" si="9"/>
        <v>0.2</v>
      </c>
      <c r="Z22" s="210">
        <v>0</v>
      </c>
      <c r="AA22" s="848">
        <f t="shared" si="10"/>
        <v>0</v>
      </c>
      <c r="AB22" s="210">
        <v>0</v>
      </c>
      <c r="AC22" s="848">
        <f t="shared" si="11"/>
        <v>0</v>
      </c>
      <c r="AD22" s="210">
        <v>0</v>
      </c>
      <c r="AE22" s="848">
        <f t="shared" si="12"/>
        <v>0</v>
      </c>
    </row>
    <row r="23" spans="1:31" x14ac:dyDescent="0.25">
      <c r="A23" s="311" t="s">
        <v>488</v>
      </c>
      <c r="B23" s="847">
        <v>0</v>
      </c>
      <c r="C23" s="847">
        <v>0</v>
      </c>
      <c r="D23" s="847">
        <v>1</v>
      </c>
      <c r="E23" s="847">
        <v>0</v>
      </c>
      <c r="F23" s="210">
        <v>1</v>
      </c>
      <c r="G23" s="848">
        <f t="shared" si="0"/>
        <v>0.4</v>
      </c>
      <c r="H23" s="210">
        <v>1</v>
      </c>
      <c r="I23" s="848">
        <f t="shared" si="1"/>
        <v>0.6</v>
      </c>
      <c r="J23" s="210">
        <v>1</v>
      </c>
      <c r="K23" s="848">
        <f t="shared" si="2"/>
        <v>0.8</v>
      </c>
      <c r="L23" s="210">
        <v>0</v>
      </c>
      <c r="M23" s="848">
        <f t="shared" si="3"/>
        <v>0.6</v>
      </c>
      <c r="N23" s="210">
        <v>0</v>
      </c>
      <c r="O23" s="848">
        <f t="shared" si="4"/>
        <v>0.6</v>
      </c>
      <c r="P23" s="210">
        <v>1</v>
      </c>
      <c r="Q23" s="848">
        <f t="shared" si="5"/>
        <v>0.6</v>
      </c>
      <c r="R23" s="210">
        <v>2</v>
      </c>
      <c r="S23" s="848">
        <f t="shared" si="6"/>
        <v>0.8</v>
      </c>
      <c r="T23" s="210">
        <v>3</v>
      </c>
      <c r="U23" s="848">
        <f t="shared" si="7"/>
        <v>1.2</v>
      </c>
      <c r="V23" s="210">
        <v>2</v>
      </c>
      <c r="W23" s="848">
        <f t="shared" si="8"/>
        <v>1.6</v>
      </c>
      <c r="X23" s="210">
        <v>2</v>
      </c>
      <c r="Y23" s="848">
        <f t="shared" si="9"/>
        <v>2</v>
      </c>
      <c r="Z23" s="210">
        <v>2</v>
      </c>
      <c r="AA23" s="848">
        <f t="shared" si="10"/>
        <v>2.2000000000000002</v>
      </c>
      <c r="AB23" s="210">
        <v>4</v>
      </c>
      <c r="AC23" s="848">
        <f t="shared" si="11"/>
        <v>2.6</v>
      </c>
      <c r="AD23" s="210">
        <v>3</v>
      </c>
      <c r="AE23" s="848">
        <f t="shared" si="12"/>
        <v>2.6</v>
      </c>
    </row>
    <row r="24" spans="1:31" x14ac:dyDescent="0.25">
      <c r="A24" s="209" t="s">
        <v>1076</v>
      </c>
      <c r="B24" s="847">
        <v>4</v>
      </c>
      <c r="C24" s="847">
        <v>2</v>
      </c>
      <c r="D24" s="847">
        <v>4</v>
      </c>
      <c r="E24" s="847">
        <v>5</v>
      </c>
      <c r="F24" s="210">
        <v>7</v>
      </c>
      <c r="G24" s="848">
        <f t="shared" si="0"/>
        <v>4.4000000000000004</v>
      </c>
      <c r="H24" s="210">
        <v>2</v>
      </c>
      <c r="I24" s="848">
        <f t="shared" si="1"/>
        <v>4</v>
      </c>
      <c r="J24" s="210">
        <v>6</v>
      </c>
      <c r="K24" s="848">
        <f t="shared" si="2"/>
        <v>4.8</v>
      </c>
      <c r="L24" s="210">
        <v>5</v>
      </c>
      <c r="M24" s="848">
        <f t="shared" si="3"/>
        <v>5</v>
      </c>
      <c r="N24" s="210">
        <v>5</v>
      </c>
      <c r="O24" s="848">
        <f t="shared" si="4"/>
        <v>5</v>
      </c>
      <c r="P24" s="210">
        <v>5</v>
      </c>
      <c r="Q24" s="848">
        <f t="shared" si="5"/>
        <v>4.5999999999999996</v>
      </c>
      <c r="R24" s="210">
        <v>0</v>
      </c>
      <c r="S24" s="848">
        <f t="shared" si="6"/>
        <v>4.2</v>
      </c>
      <c r="T24" s="210">
        <v>2</v>
      </c>
      <c r="U24" s="848">
        <f t="shared" si="7"/>
        <v>3.4</v>
      </c>
      <c r="V24" s="210">
        <v>1</v>
      </c>
      <c r="W24" s="848">
        <f t="shared" si="8"/>
        <v>2.6</v>
      </c>
      <c r="X24" s="210">
        <v>0</v>
      </c>
      <c r="Y24" s="848">
        <f t="shared" si="9"/>
        <v>1.6</v>
      </c>
      <c r="Z24" s="210">
        <v>1</v>
      </c>
      <c r="AA24" s="848">
        <f t="shared" si="10"/>
        <v>0.8</v>
      </c>
      <c r="AB24" s="210">
        <v>3</v>
      </c>
      <c r="AC24" s="848">
        <f t="shared" si="11"/>
        <v>1.4</v>
      </c>
      <c r="AD24" s="210">
        <v>0</v>
      </c>
      <c r="AE24" s="848">
        <f t="shared" si="12"/>
        <v>1</v>
      </c>
    </row>
    <row r="25" spans="1:31" x14ac:dyDescent="0.25">
      <c r="A25" s="1310" t="s">
        <v>1447</v>
      </c>
      <c r="B25" s="847">
        <v>0</v>
      </c>
      <c r="C25" s="847">
        <v>0</v>
      </c>
      <c r="D25" s="847">
        <v>0</v>
      </c>
      <c r="E25" s="847">
        <v>0</v>
      </c>
      <c r="F25" s="210">
        <v>0</v>
      </c>
      <c r="G25" s="848">
        <f>AVERAGE(B25:F25)</f>
        <v>0</v>
      </c>
      <c r="H25" s="210">
        <v>0</v>
      </c>
      <c r="I25" s="848">
        <f>(+H25+F25+E25+D25+C25)/5</f>
        <v>0</v>
      </c>
      <c r="J25" s="210">
        <v>0</v>
      </c>
      <c r="K25" s="848">
        <f>(+J25+H25+F25+E25+D25)/5</f>
        <v>0</v>
      </c>
      <c r="L25" s="210">
        <v>0</v>
      </c>
      <c r="M25" s="848">
        <f>(L25+J25+H25+F25+E25)/5</f>
        <v>0</v>
      </c>
      <c r="N25" s="210">
        <v>0</v>
      </c>
      <c r="O25" s="848">
        <f>(N25+L25+J25+H25+F25)/5</f>
        <v>0</v>
      </c>
      <c r="P25" s="210">
        <v>0</v>
      </c>
      <c r="Q25" s="848">
        <f>(P25+N25+L25+J25+H25)/5</f>
        <v>0</v>
      </c>
      <c r="R25" s="210">
        <v>0</v>
      </c>
      <c r="S25" s="848">
        <f>(R25+P25+N25+L25+J25)/5</f>
        <v>0</v>
      </c>
      <c r="T25" s="210">
        <v>0</v>
      </c>
      <c r="U25" s="848">
        <f>(T25+R25+P25+N25+L25)/5</f>
        <v>0</v>
      </c>
      <c r="V25" s="210">
        <v>0</v>
      </c>
      <c r="W25" s="848">
        <f>(V25+T25+R25+P25+N25)/5</f>
        <v>0</v>
      </c>
      <c r="X25" s="210">
        <v>0</v>
      </c>
      <c r="Y25" s="848">
        <f>(X25+V25+T25+R25+P25)/5</f>
        <v>0</v>
      </c>
      <c r="Z25" s="210">
        <v>1</v>
      </c>
      <c r="AA25" s="848">
        <f>(Z25+X25+V25+T25+R25)/5</f>
        <v>0.2</v>
      </c>
      <c r="AB25" s="210">
        <v>1</v>
      </c>
      <c r="AC25" s="848">
        <f>(AB25+Z25+X25+V25+T25)/5</f>
        <v>0.4</v>
      </c>
      <c r="AD25" s="210">
        <v>0</v>
      </c>
      <c r="AE25" s="848">
        <f>(AD25+AB25+Z25+X25+V25)/5</f>
        <v>0.4</v>
      </c>
    </row>
    <row r="26" spans="1:31" x14ac:dyDescent="0.25">
      <c r="A26" s="809" t="s">
        <v>1134</v>
      </c>
      <c r="B26" s="847">
        <v>0</v>
      </c>
      <c r="C26" s="847">
        <v>0</v>
      </c>
      <c r="D26" s="847">
        <v>0</v>
      </c>
      <c r="E26" s="847">
        <v>0</v>
      </c>
      <c r="F26" s="210">
        <v>0</v>
      </c>
      <c r="G26" s="848">
        <f>AVERAGE(B26:F26)</f>
        <v>0</v>
      </c>
      <c r="H26" s="210">
        <v>0</v>
      </c>
      <c r="I26" s="848">
        <f>(+H26+F26+E26+D26+C26)/5</f>
        <v>0</v>
      </c>
      <c r="J26" s="210">
        <v>0</v>
      </c>
      <c r="K26" s="848">
        <f>(+J26+H26+F26+E26+D26)/5</f>
        <v>0</v>
      </c>
      <c r="L26" s="210">
        <v>1</v>
      </c>
      <c r="M26" s="848">
        <f>(L26+J26+H26+F26+E26)/5</f>
        <v>0.2</v>
      </c>
      <c r="N26" s="210">
        <v>0</v>
      </c>
      <c r="O26" s="848">
        <f>(N26+L26+J26+H26+F26)/5</f>
        <v>0.2</v>
      </c>
      <c r="P26" s="210">
        <v>2</v>
      </c>
      <c r="Q26" s="848">
        <f>(P26+N26+L26+J26+H26)/5</f>
        <v>0.6</v>
      </c>
      <c r="R26" s="210">
        <v>1</v>
      </c>
      <c r="S26" s="848">
        <f>(R26+P26+N26+L26+J26)/5</f>
        <v>0.8</v>
      </c>
      <c r="T26" s="210">
        <v>0</v>
      </c>
      <c r="U26" s="848">
        <f>(T26+R26+P26+N26+L26)/5</f>
        <v>0.8</v>
      </c>
      <c r="V26" s="210">
        <v>0</v>
      </c>
      <c r="W26" s="848">
        <f>(V26+T26+R26+P26+N26)/5</f>
        <v>0.6</v>
      </c>
      <c r="X26" s="210">
        <v>2</v>
      </c>
      <c r="Y26" s="848">
        <f>(X26+V26+T26+R26+P26)/5</f>
        <v>1</v>
      </c>
      <c r="Z26" s="210">
        <v>0</v>
      </c>
      <c r="AA26" s="848">
        <f>(Z26+X26+V26+T26+R26)/5</f>
        <v>0.6</v>
      </c>
      <c r="AB26" s="210">
        <v>0</v>
      </c>
      <c r="AC26" s="848">
        <f>(AB26+Z26+X26+V26+T26)/5</f>
        <v>0.4</v>
      </c>
      <c r="AD26" s="210">
        <v>0</v>
      </c>
      <c r="AE26" s="848">
        <f>(AD26+AB26+Z26+X26+V26)/5</f>
        <v>0.4</v>
      </c>
    </row>
    <row r="27" spans="1:31" x14ac:dyDescent="0.25">
      <c r="A27" s="809" t="s">
        <v>621</v>
      </c>
      <c r="B27" s="847">
        <v>0</v>
      </c>
      <c r="C27" s="847">
        <v>0</v>
      </c>
      <c r="D27" s="847">
        <v>0</v>
      </c>
      <c r="E27" s="847">
        <v>0</v>
      </c>
      <c r="F27" s="210">
        <v>0</v>
      </c>
      <c r="G27" s="848">
        <f t="shared" si="0"/>
        <v>0</v>
      </c>
      <c r="H27" s="210">
        <v>0</v>
      </c>
      <c r="I27" s="848">
        <f t="shared" si="1"/>
        <v>0</v>
      </c>
      <c r="J27" s="210">
        <v>0</v>
      </c>
      <c r="K27" s="848">
        <f t="shared" si="2"/>
        <v>0</v>
      </c>
      <c r="L27" s="210">
        <v>0</v>
      </c>
      <c r="M27" s="848">
        <f t="shared" si="3"/>
        <v>0</v>
      </c>
      <c r="N27" s="210">
        <v>0</v>
      </c>
      <c r="O27" s="848">
        <f t="shared" si="4"/>
        <v>0</v>
      </c>
      <c r="P27" s="210">
        <v>0</v>
      </c>
      <c r="Q27" s="848">
        <f t="shared" si="5"/>
        <v>0</v>
      </c>
      <c r="R27" s="210">
        <v>0</v>
      </c>
      <c r="S27" s="848">
        <f t="shared" si="6"/>
        <v>0</v>
      </c>
      <c r="T27" s="210">
        <v>0</v>
      </c>
      <c r="U27" s="848">
        <f t="shared" si="7"/>
        <v>0</v>
      </c>
      <c r="V27" s="210">
        <v>0</v>
      </c>
      <c r="W27" s="848">
        <f t="shared" si="8"/>
        <v>0</v>
      </c>
      <c r="X27" s="210">
        <v>0</v>
      </c>
      <c r="Y27" s="848">
        <f t="shared" si="9"/>
        <v>0</v>
      </c>
      <c r="Z27" s="210">
        <v>0</v>
      </c>
      <c r="AA27" s="848">
        <f t="shared" si="10"/>
        <v>0</v>
      </c>
      <c r="AB27" s="210">
        <v>0</v>
      </c>
      <c r="AC27" s="848">
        <f t="shared" si="11"/>
        <v>0</v>
      </c>
      <c r="AD27" s="210">
        <v>0</v>
      </c>
      <c r="AE27" s="848">
        <f t="shared" ref="AE27:AE46" si="13">(AD27+AB27+Z27+X27+V27)/5</f>
        <v>0</v>
      </c>
    </row>
    <row r="28" spans="1:31" x14ac:dyDescent="0.25">
      <c r="A28" s="1009" t="s">
        <v>1464</v>
      </c>
      <c r="B28" s="847">
        <v>0</v>
      </c>
      <c r="C28" s="847">
        <v>1</v>
      </c>
      <c r="D28" s="847">
        <v>1</v>
      </c>
      <c r="E28" s="847">
        <v>0</v>
      </c>
      <c r="F28" s="210">
        <v>0</v>
      </c>
      <c r="G28" s="848">
        <f t="shared" si="0"/>
        <v>0.4</v>
      </c>
      <c r="H28" s="210">
        <v>0</v>
      </c>
      <c r="I28" s="848">
        <f t="shared" si="1"/>
        <v>0.4</v>
      </c>
      <c r="J28" s="210">
        <v>1</v>
      </c>
      <c r="K28" s="848">
        <f t="shared" si="2"/>
        <v>0.4</v>
      </c>
      <c r="L28" s="210">
        <v>0</v>
      </c>
      <c r="M28" s="848">
        <f t="shared" si="3"/>
        <v>0.2</v>
      </c>
      <c r="N28" s="210">
        <v>1</v>
      </c>
      <c r="O28" s="848">
        <f t="shared" si="4"/>
        <v>0.4</v>
      </c>
      <c r="P28" s="210">
        <v>1</v>
      </c>
      <c r="Q28" s="848">
        <f t="shared" si="5"/>
        <v>0.6</v>
      </c>
      <c r="R28" s="210">
        <v>0</v>
      </c>
      <c r="S28" s="848">
        <f t="shared" si="6"/>
        <v>0.6</v>
      </c>
      <c r="T28" s="210">
        <v>1</v>
      </c>
      <c r="U28" s="848">
        <f t="shared" si="7"/>
        <v>0.6</v>
      </c>
      <c r="V28" s="210">
        <v>0</v>
      </c>
      <c r="W28" s="848">
        <f t="shared" si="8"/>
        <v>0.6</v>
      </c>
      <c r="X28" s="210">
        <v>1</v>
      </c>
      <c r="Y28" s="848">
        <f t="shared" si="9"/>
        <v>0.6</v>
      </c>
      <c r="Z28" s="210">
        <v>2</v>
      </c>
      <c r="AA28" s="848">
        <f t="shared" si="10"/>
        <v>0.8</v>
      </c>
      <c r="AB28" s="210">
        <v>1</v>
      </c>
      <c r="AC28" s="848">
        <f t="shared" si="11"/>
        <v>1</v>
      </c>
      <c r="AD28" s="210">
        <v>0</v>
      </c>
      <c r="AE28" s="848">
        <f t="shared" si="13"/>
        <v>0.8</v>
      </c>
    </row>
    <row r="29" spans="1:31" x14ac:dyDescent="0.25">
      <c r="A29" s="209" t="s">
        <v>1088</v>
      </c>
      <c r="B29" s="847">
        <v>5</v>
      </c>
      <c r="C29" s="847">
        <v>7</v>
      </c>
      <c r="D29" s="847">
        <v>4</v>
      </c>
      <c r="E29" s="847">
        <v>2</v>
      </c>
      <c r="F29" s="210">
        <v>5</v>
      </c>
      <c r="G29" s="848">
        <f t="shared" si="0"/>
        <v>4.5999999999999996</v>
      </c>
      <c r="H29" s="210">
        <v>2</v>
      </c>
      <c r="I29" s="848">
        <f t="shared" si="1"/>
        <v>4</v>
      </c>
      <c r="J29" s="210">
        <v>4</v>
      </c>
      <c r="K29" s="848">
        <f t="shared" si="2"/>
        <v>3.4</v>
      </c>
      <c r="L29" s="210">
        <v>2</v>
      </c>
      <c r="M29" s="848">
        <f t="shared" si="3"/>
        <v>3</v>
      </c>
      <c r="N29" s="210">
        <v>3</v>
      </c>
      <c r="O29" s="848">
        <f t="shared" si="4"/>
        <v>3.2</v>
      </c>
      <c r="P29" s="210">
        <v>3</v>
      </c>
      <c r="Q29" s="848">
        <f t="shared" si="5"/>
        <v>2.8</v>
      </c>
      <c r="R29" s="210">
        <v>4</v>
      </c>
      <c r="S29" s="848">
        <f t="shared" si="6"/>
        <v>3.2</v>
      </c>
      <c r="T29" s="210">
        <v>0</v>
      </c>
      <c r="U29" s="848">
        <f t="shared" si="7"/>
        <v>2.4</v>
      </c>
      <c r="V29" s="210">
        <v>2</v>
      </c>
      <c r="W29" s="848">
        <f t="shared" si="8"/>
        <v>2.4</v>
      </c>
      <c r="X29" s="210">
        <v>0</v>
      </c>
      <c r="Y29" s="848">
        <f t="shared" si="9"/>
        <v>1.8</v>
      </c>
      <c r="Z29" s="210">
        <v>1</v>
      </c>
      <c r="AA29" s="848">
        <f t="shared" si="10"/>
        <v>1.4</v>
      </c>
      <c r="AB29" s="210">
        <v>0</v>
      </c>
      <c r="AC29" s="848">
        <f t="shared" si="11"/>
        <v>0.6</v>
      </c>
      <c r="AD29" s="210">
        <v>2</v>
      </c>
      <c r="AE29" s="848">
        <f t="shared" si="13"/>
        <v>1</v>
      </c>
    </row>
    <row r="30" spans="1:31" x14ac:dyDescent="0.25">
      <c r="A30" s="1009" t="s">
        <v>1448</v>
      </c>
      <c r="B30" s="847">
        <v>0</v>
      </c>
      <c r="C30" s="847">
        <v>0</v>
      </c>
      <c r="D30" s="847">
        <v>0</v>
      </c>
      <c r="E30" s="847">
        <v>0</v>
      </c>
      <c r="F30" s="210">
        <v>0</v>
      </c>
      <c r="G30" s="848">
        <f t="shared" si="0"/>
        <v>0</v>
      </c>
      <c r="H30" s="210">
        <v>0</v>
      </c>
      <c r="I30" s="848">
        <f t="shared" si="1"/>
        <v>0</v>
      </c>
      <c r="J30" s="210">
        <v>0</v>
      </c>
      <c r="K30" s="848">
        <f t="shared" si="2"/>
        <v>0</v>
      </c>
      <c r="L30" s="210">
        <v>0</v>
      </c>
      <c r="M30" s="848">
        <f t="shared" si="3"/>
        <v>0</v>
      </c>
      <c r="N30" s="210">
        <v>0</v>
      </c>
      <c r="O30" s="848">
        <f t="shared" si="4"/>
        <v>0</v>
      </c>
      <c r="P30" s="210">
        <v>0</v>
      </c>
      <c r="Q30" s="848">
        <f t="shared" si="5"/>
        <v>0</v>
      </c>
      <c r="R30" s="210">
        <v>0</v>
      </c>
      <c r="S30" s="848">
        <f t="shared" si="6"/>
        <v>0</v>
      </c>
      <c r="T30" s="210">
        <v>0</v>
      </c>
      <c r="U30" s="848">
        <f t="shared" si="7"/>
        <v>0</v>
      </c>
      <c r="V30" s="210">
        <v>0</v>
      </c>
      <c r="W30" s="848">
        <f t="shared" si="8"/>
        <v>0</v>
      </c>
      <c r="X30" s="210">
        <v>0</v>
      </c>
      <c r="Y30" s="848">
        <f t="shared" si="9"/>
        <v>0</v>
      </c>
      <c r="Z30" s="210">
        <v>1</v>
      </c>
      <c r="AA30" s="848">
        <f t="shared" si="10"/>
        <v>0.2</v>
      </c>
      <c r="AB30" s="210">
        <v>2</v>
      </c>
      <c r="AC30" s="848">
        <f t="shared" si="11"/>
        <v>0.6</v>
      </c>
      <c r="AD30" s="210">
        <v>0</v>
      </c>
      <c r="AE30" s="848">
        <f t="shared" si="13"/>
        <v>0.6</v>
      </c>
    </row>
    <row r="31" spans="1:31" x14ac:dyDescent="0.25">
      <c r="A31" s="209" t="s">
        <v>1072</v>
      </c>
      <c r="B31" s="847">
        <v>2</v>
      </c>
      <c r="C31" s="847">
        <v>3</v>
      </c>
      <c r="D31" s="847">
        <v>0</v>
      </c>
      <c r="E31" s="847">
        <v>6</v>
      </c>
      <c r="F31" s="210">
        <v>3</v>
      </c>
      <c r="G31" s="848">
        <f t="shared" si="0"/>
        <v>2.8</v>
      </c>
      <c r="H31" s="210">
        <v>3</v>
      </c>
      <c r="I31" s="848">
        <f t="shared" si="1"/>
        <v>3</v>
      </c>
      <c r="J31" s="210">
        <v>1</v>
      </c>
      <c r="K31" s="848">
        <f t="shared" si="2"/>
        <v>2.6</v>
      </c>
      <c r="L31" s="210">
        <v>2</v>
      </c>
      <c r="M31" s="848">
        <f t="shared" si="3"/>
        <v>3</v>
      </c>
      <c r="N31" s="210">
        <v>0</v>
      </c>
      <c r="O31" s="848">
        <f t="shared" si="4"/>
        <v>1.8</v>
      </c>
      <c r="P31" s="210">
        <v>4</v>
      </c>
      <c r="Q31" s="848">
        <f t="shared" si="5"/>
        <v>2</v>
      </c>
      <c r="R31" s="210">
        <v>0</v>
      </c>
      <c r="S31" s="848">
        <f t="shared" si="6"/>
        <v>1.4</v>
      </c>
      <c r="T31" s="210">
        <v>0</v>
      </c>
      <c r="U31" s="848">
        <f t="shared" si="7"/>
        <v>1.2</v>
      </c>
      <c r="V31" s="210">
        <v>0</v>
      </c>
      <c r="W31" s="848">
        <f t="shared" si="8"/>
        <v>0.8</v>
      </c>
      <c r="X31" s="210">
        <v>0</v>
      </c>
      <c r="Y31" s="848">
        <f t="shared" si="9"/>
        <v>0.8</v>
      </c>
      <c r="Z31" s="210">
        <v>0</v>
      </c>
      <c r="AA31" s="848">
        <f t="shared" si="10"/>
        <v>0</v>
      </c>
      <c r="AB31" s="210">
        <v>0</v>
      </c>
      <c r="AC31" s="848">
        <f t="shared" si="11"/>
        <v>0</v>
      </c>
      <c r="AD31" s="210">
        <v>1</v>
      </c>
      <c r="AE31" s="848">
        <f t="shared" si="13"/>
        <v>0.2</v>
      </c>
    </row>
    <row r="32" spans="1:31" x14ac:dyDescent="0.25">
      <c r="A32" s="1432" t="s">
        <v>1563</v>
      </c>
      <c r="B32" s="847">
        <v>0</v>
      </c>
      <c r="C32" s="847">
        <v>0</v>
      </c>
      <c r="D32" s="847">
        <v>0</v>
      </c>
      <c r="E32" s="847">
        <v>0</v>
      </c>
      <c r="F32" s="210">
        <v>0</v>
      </c>
      <c r="G32" s="848">
        <f t="shared" si="0"/>
        <v>0</v>
      </c>
      <c r="H32" s="210">
        <v>0</v>
      </c>
      <c r="I32" s="848">
        <f t="shared" si="1"/>
        <v>0</v>
      </c>
      <c r="J32" s="210">
        <v>0</v>
      </c>
      <c r="K32" s="848">
        <f t="shared" si="2"/>
        <v>0</v>
      </c>
      <c r="L32" s="210">
        <v>0</v>
      </c>
      <c r="M32" s="848">
        <f t="shared" si="3"/>
        <v>0</v>
      </c>
      <c r="N32" s="210">
        <v>0</v>
      </c>
      <c r="O32" s="848">
        <f t="shared" si="4"/>
        <v>0</v>
      </c>
      <c r="P32" s="210">
        <v>0</v>
      </c>
      <c r="Q32" s="848">
        <f t="shared" si="5"/>
        <v>0</v>
      </c>
      <c r="R32" s="210">
        <v>0</v>
      </c>
      <c r="S32" s="848">
        <f t="shared" si="6"/>
        <v>0</v>
      </c>
      <c r="T32" s="210">
        <v>0</v>
      </c>
      <c r="U32" s="848">
        <f t="shared" si="7"/>
        <v>0</v>
      </c>
      <c r="V32" s="210">
        <v>0</v>
      </c>
      <c r="W32" s="848">
        <f t="shared" si="8"/>
        <v>0</v>
      </c>
      <c r="X32" s="210">
        <v>0</v>
      </c>
      <c r="Y32" s="848">
        <f t="shared" si="9"/>
        <v>0</v>
      </c>
      <c r="Z32" s="210">
        <v>0</v>
      </c>
      <c r="AA32" s="848">
        <f t="shared" si="10"/>
        <v>0</v>
      </c>
      <c r="AB32" s="210">
        <v>0</v>
      </c>
      <c r="AC32" s="848">
        <f t="shared" si="11"/>
        <v>0</v>
      </c>
      <c r="AD32" s="210">
        <v>1</v>
      </c>
      <c r="AE32" s="848">
        <f t="shared" si="13"/>
        <v>0.2</v>
      </c>
    </row>
    <row r="33" spans="1:31" x14ac:dyDescent="0.25">
      <c r="A33" s="209" t="s">
        <v>1220</v>
      </c>
      <c r="B33" s="847">
        <v>0</v>
      </c>
      <c r="C33" s="847">
        <v>0</v>
      </c>
      <c r="D33" s="847">
        <v>0</v>
      </c>
      <c r="E33" s="847">
        <v>0</v>
      </c>
      <c r="F33" s="210">
        <v>0</v>
      </c>
      <c r="G33" s="848">
        <f t="shared" si="0"/>
        <v>0</v>
      </c>
      <c r="H33" s="210">
        <v>0</v>
      </c>
      <c r="I33" s="848">
        <f t="shared" si="1"/>
        <v>0</v>
      </c>
      <c r="J33" s="210">
        <v>0</v>
      </c>
      <c r="K33" s="848">
        <f t="shared" si="2"/>
        <v>0</v>
      </c>
      <c r="L33" s="210">
        <v>0</v>
      </c>
      <c r="M33" s="848">
        <f t="shared" si="3"/>
        <v>0</v>
      </c>
      <c r="N33" s="210">
        <v>0</v>
      </c>
      <c r="O33" s="848">
        <f t="shared" si="4"/>
        <v>0</v>
      </c>
      <c r="P33" s="210">
        <v>0</v>
      </c>
      <c r="Q33" s="848">
        <f t="shared" si="5"/>
        <v>0</v>
      </c>
      <c r="R33" s="210">
        <v>2</v>
      </c>
      <c r="S33" s="848">
        <f t="shared" si="6"/>
        <v>0.4</v>
      </c>
      <c r="T33" s="210">
        <v>0</v>
      </c>
      <c r="U33" s="848">
        <f t="shared" si="7"/>
        <v>0.4</v>
      </c>
      <c r="V33" s="210">
        <v>2</v>
      </c>
      <c r="W33" s="848">
        <f t="shared" si="8"/>
        <v>0.8</v>
      </c>
      <c r="X33" s="210">
        <v>1</v>
      </c>
      <c r="Y33" s="848">
        <f t="shared" si="9"/>
        <v>1</v>
      </c>
      <c r="Z33" s="210">
        <v>0</v>
      </c>
      <c r="AA33" s="848">
        <f t="shared" si="10"/>
        <v>1</v>
      </c>
      <c r="AB33" s="210">
        <v>0</v>
      </c>
      <c r="AC33" s="848">
        <f t="shared" si="11"/>
        <v>0.6</v>
      </c>
      <c r="AD33" s="210">
        <v>6</v>
      </c>
      <c r="AE33" s="848">
        <f t="shared" si="13"/>
        <v>1.8</v>
      </c>
    </row>
    <row r="34" spans="1:31" x14ac:dyDescent="0.25">
      <c r="A34" s="209" t="s">
        <v>1138</v>
      </c>
      <c r="B34" s="847">
        <v>0</v>
      </c>
      <c r="C34" s="847">
        <v>1</v>
      </c>
      <c r="D34" s="847">
        <v>0</v>
      </c>
      <c r="E34" s="847">
        <v>1</v>
      </c>
      <c r="F34" s="210">
        <v>0</v>
      </c>
      <c r="G34" s="848">
        <f t="shared" si="0"/>
        <v>0.4</v>
      </c>
      <c r="H34" s="210">
        <v>0</v>
      </c>
      <c r="I34" s="848">
        <f t="shared" si="1"/>
        <v>0.4</v>
      </c>
      <c r="J34" s="210">
        <v>0</v>
      </c>
      <c r="K34" s="848">
        <f t="shared" si="2"/>
        <v>0.2</v>
      </c>
      <c r="L34" s="210">
        <v>1</v>
      </c>
      <c r="M34" s="848">
        <f t="shared" si="3"/>
        <v>0.4</v>
      </c>
      <c r="N34" s="210">
        <v>0</v>
      </c>
      <c r="O34" s="848">
        <f t="shared" si="4"/>
        <v>0.2</v>
      </c>
      <c r="P34" s="210">
        <v>0</v>
      </c>
      <c r="Q34" s="848">
        <f t="shared" si="5"/>
        <v>0.2</v>
      </c>
      <c r="R34" s="210">
        <v>0</v>
      </c>
      <c r="S34" s="848">
        <f t="shared" si="6"/>
        <v>0.2</v>
      </c>
      <c r="T34" s="210">
        <v>0</v>
      </c>
      <c r="U34" s="848">
        <f t="shared" si="7"/>
        <v>0.2</v>
      </c>
      <c r="V34" s="210">
        <v>0</v>
      </c>
      <c r="W34" s="848">
        <f t="shared" si="8"/>
        <v>0</v>
      </c>
      <c r="X34" s="210">
        <v>0</v>
      </c>
      <c r="Y34" s="848">
        <f t="shared" si="9"/>
        <v>0</v>
      </c>
      <c r="Z34" s="210">
        <v>1</v>
      </c>
      <c r="AA34" s="848">
        <f t="shared" si="10"/>
        <v>0.2</v>
      </c>
      <c r="AB34" s="210">
        <v>0</v>
      </c>
      <c r="AC34" s="848">
        <f t="shared" si="11"/>
        <v>0.2</v>
      </c>
      <c r="AD34" s="210">
        <v>1</v>
      </c>
      <c r="AE34" s="848">
        <f t="shared" si="13"/>
        <v>0.4</v>
      </c>
    </row>
    <row r="35" spans="1:31" x14ac:dyDescent="0.25">
      <c r="A35" s="209" t="s">
        <v>1077</v>
      </c>
      <c r="B35" s="847">
        <v>3</v>
      </c>
      <c r="C35" s="847">
        <v>2</v>
      </c>
      <c r="D35" s="847">
        <v>4</v>
      </c>
      <c r="E35" s="847">
        <v>2</v>
      </c>
      <c r="F35" s="210">
        <v>2</v>
      </c>
      <c r="G35" s="848">
        <f t="shared" si="0"/>
        <v>2.6</v>
      </c>
      <c r="H35" s="210">
        <v>0</v>
      </c>
      <c r="I35" s="848">
        <f t="shared" si="1"/>
        <v>2</v>
      </c>
      <c r="J35" s="210">
        <v>3</v>
      </c>
      <c r="K35" s="848">
        <f t="shared" si="2"/>
        <v>2.2000000000000002</v>
      </c>
      <c r="L35" s="210">
        <v>0</v>
      </c>
      <c r="M35" s="848">
        <f t="shared" si="3"/>
        <v>1.4</v>
      </c>
      <c r="N35" s="210">
        <v>1</v>
      </c>
      <c r="O35" s="848">
        <f t="shared" si="4"/>
        <v>1.2</v>
      </c>
      <c r="P35" s="210">
        <v>4</v>
      </c>
      <c r="Q35" s="848">
        <f t="shared" si="5"/>
        <v>1.6</v>
      </c>
      <c r="R35" s="210">
        <v>1</v>
      </c>
      <c r="S35" s="848">
        <f t="shared" si="6"/>
        <v>1.8</v>
      </c>
      <c r="T35" s="210">
        <v>0</v>
      </c>
      <c r="U35" s="848">
        <f t="shared" si="7"/>
        <v>1.2</v>
      </c>
      <c r="V35" s="210">
        <v>2</v>
      </c>
      <c r="W35" s="848">
        <f t="shared" si="8"/>
        <v>1.6</v>
      </c>
      <c r="X35" s="210">
        <v>0</v>
      </c>
      <c r="Y35" s="848">
        <f t="shared" si="9"/>
        <v>1.4</v>
      </c>
      <c r="Z35" s="210">
        <v>0</v>
      </c>
      <c r="AA35" s="848">
        <f t="shared" si="10"/>
        <v>0.6</v>
      </c>
      <c r="AB35" s="210">
        <v>0</v>
      </c>
      <c r="AC35" s="848">
        <f t="shared" si="11"/>
        <v>0.4</v>
      </c>
      <c r="AD35" s="210">
        <v>0</v>
      </c>
      <c r="AE35" s="848">
        <f t="shared" si="13"/>
        <v>0.4</v>
      </c>
    </row>
    <row r="36" spans="1:31" x14ac:dyDescent="0.25">
      <c r="A36" s="209" t="s">
        <v>1078</v>
      </c>
      <c r="B36" s="847">
        <v>0</v>
      </c>
      <c r="C36" s="847">
        <v>0</v>
      </c>
      <c r="D36" s="847">
        <v>0</v>
      </c>
      <c r="E36" s="847">
        <v>0</v>
      </c>
      <c r="F36" s="210">
        <v>0</v>
      </c>
      <c r="G36" s="848">
        <f t="shared" si="0"/>
        <v>0</v>
      </c>
      <c r="H36" s="210">
        <v>1</v>
      </c>
      <c r="I36" s="848">
        <f t="shared" si="1"/>
        <v>0.2</v>
      </c>
      <c r="J36" s="210">
        <v>0</v>
      </c>
      <c r="K36" s="848">
        <f t="shared" si="2"/>
        <v>0.2</v>
      </c>
      <c r="L36" s="210">
        <v>0</v>
      </c>
      <c r="M36" s="848">
        <f t="shared" si="3"/>
        <v>0.2</v>
      </c>
      <c r="N36" s="210">
        <v>0</v>
      </c>
      <c r="O36" s="848">
        <f t="shared" si="4"/>
        <v>0.2</v>
      </c>
      <c r="P36" s="210">
        <v>0</v>
      </c>
      <c r="Q36" s="848">
        <f t="shared" si="5"/>
        <v>0.2</v>
      </c>
      <c r="R36" s="210">
        <v>4</v>
      </c>
      <c r="S36" s="848">
        <f t="shared" si="6"/>
        <v>0.8</v>
      </c>
      <c r="T36" s="210">
        <v>3</v>
      </c>
      <c r="U36" s="848">
        <f t="shared" si="7"/>
        <v>1.4</v>
      </c>
      <c r="V36" s="210">
        <v>3</v>
      </c>
      <c r="W36" s="848">
        <f t="shared" si="8"/>
        <v>2</v>
      </c>
      <c r="X36" s="210">
        <v>2</v>
      </c>
      <c r="Y36" s="848">
        <f t="shared" si="9"/>
        <v>2.4</v>
      </c>
      <c r="Z36" s="210">
        <v>1</v>
      </c>
      <c r="AA36" s="848">
        <f t="shared" si="10"/>
        <v>2.6</v>
      </c>
      <c r="AB36" s="210">
        <v>1</v>
      </c>
      <c r="AC36" s="848">
        <f t="shared" si="11"/>
        <v>2</v>
      </c>
      <c r="AD36" s="210">
        <v>1</v>
      </c>
      <c r="AE36" s="848">
        <f t="shared" si="13"/>
        <v>1.6</v>
      </c>
    </row>
    <row r="37" spans="1:31" x14ac:dyDescent="0.25">
      <c r="A37" s="209" t="s">
        <v>1047</v>
      </c>
      <c r="B37" s="847">
        <v>2</v>
      </c>
      <c r="C37" s="847">
        <v>6</v>
      </c>
      <c r="D37" s="847">
        <v>5</v>
      </c>
      <c r="E37" s="847">
        <v>2</v>
      </c>
      <c r="F37" s="210">
        <v>3</v>
      </c>
      <c r="G37" s="848">
        <f t="shared" si="0"/>
        <v>3.6</v>
      </c>
      <c r="H37" s="210">
        <v>4</v>
      </c>
      <c r="I37" s="848">
        <f t="shared" si="1"/>
        <v>4</v>
      </c>
      <c r="J37" s="210">
        <v>2</v>
      </c>
      <c r="K37" s="848">
        <f t="shared" si="2"/>
        <v>3.2</v>
      </c>
      <c r="L37" s="210">
        <v>0</v>
      </c>
      <c r="M37" s="848">
        <f t="shared" si="3"/>
        <v>2.2000000000000002</v>
      </c>
      <c r="N37" s="210">
        <v>2</v>
      </c>
      <c r="O37" s="848">
        <f t="shared" si="4"/>
        <v>2.2000000000000002</v>
      </c>
      <c r="P37" s="210">
        <v>8</v>
      </c>
      <c r="Q37" s="848">
        <f t="shared" si="5"/>
        <v>3.2</v>
      </c>
      <c r="R37" s="210">
        <v>1</v>
      </c>
      <c r="S37" s="848">
        <f t="shared" si="6"/>
        <v>2.6</v>
      </c>
      <c r="T37" s="210">
        <v>0</v>
      </c>
      <c r="U37" s="848">
        <f t="shared" si="7"/>
        <v>2.2000000000000002</v>
      </c>
      <c r="V37" s="210">
        <v>2</v>
      </c>
      <c r="W37" s="848">
        <f t="shared" si="8"/>
        <v>2.6</v>
      </c>
      <c r="X37" s="210">
        <v>2</v>
      </c>
      <c r="Y37" s="848">
        <f t="shared" si="9"/>
        <v>2.6</v>
      </c>
      <c r="Z37" s="210">
        <v>8</v>
      </c>
      <c r="AA37" s="848">
        <f t="shared" si="10"/>
        <v>2.6</v>
      </c>
      <c r="AB37" s="210">
        <v>6</v>
      </c>
      <c r="AC37" s="848">
        <f t="shared" si="11"/>
        <v>3.6</v>
      </c>
      <c r="AD37" s="210">
        <v>4</v>
      </c>
      <c r="AE37" s="848">
        <f t="shared" si="13"/>
        <v>4.4000000000000004</v>
      </c>
    </row>
    <row r="38" spans="1:31" x14ac:dyDescent="0.25">
      <c r="A38" s="1009" t="s">
        <v>656</v>
      </c>
      <c r="B38" s="847">
        <v>0</v>
      </c>
      <c r="C38" s="847">
        <v>0</v>
      </c>
      <c r="D38" s="847">
        <v>0</v>
      </c>
      <c r="E38" s="847">
        <v>0</v>
      </c>
      <c r="F38" s="210">
        <v>0</v>
      </c>
      <c r="G38" s="848">
        <f t="shared" si="0"/>
        <v>0</v>
      </c>
      <c r="H38" s="210">
        <v>0</v>
      </c>
      <c r="I38" s="848">
        <f t="shared" si="1"/>
        <v>0</v>
      </c>
      <c r="J38" s="210">
        <v>0</v>
      </c>
      <c r="K38" s="848">
        <f t="shared" si="2"/>
        <v>0</v>
      </c>
      <c r="L38" s="210">
        <v>0</v>
      </c>
      <c r="M38" s="848">
        <f t="shared" si="3"/>
        <v>0</v>
      </c>
      <c r="N38" s="210">
        <v>0</v>
      </c>
      <c r="O38" s="848">
        <f t="shared" si="4"/>
        <v>0</v>
      </c>
      <c r="P38" s="210">
        <v>0</v>
      </c>
      <c r="Q38" s="848">
        <f t="shared" si="5"/>
        <v>0</v>
      </c>
      <c r="R38" s="210">
        <v>0</v>
      </c>
      <c r="S38" s="848">
        <f t="shared" si="6"/>
        <v>0</v>
      </c>
      <c r="T38" s="210">
        <v>0</v>
      </c>
      <c r="U38" s="848">
        <f t="shared" si="7"/>
        <v>0</v>
      </c>
      <c r="V38" s="210">
        <v>1</v>
      </c>
      <c r="W38" s="848">
        <f t="shared" si="8"/>
        <v>0.2</v>
      </c>
      <c r="X38" s="210">
        <v>0</v>
      </c>
      <c r="Y38" s="848">
        <f t="shared" si="9"/>
        <v>0.2</v>
      </c>
      <c r="Z38" s="210">
        <v>0</v>
      </c>
      <c r="AA38" s="848">
        <f t="shared" si="10"/>
        <v>0.2</v>
      </c>
      <c r="AB38" s="210">
        <v>0</v>
      </c>
      <c r="AC38" s="848">
        <f t="shared" si="11"/>
        <v>0.2</v>
      </c>
      <c r="AD38" s="210">
        <v>0</v>
      </c>
      <c r="AE38" s="848">
        <f t="shared" si="13"/>
        <v>0.2</v>
      </c>
    </row>
    <row r="39" spans="1:31" x14ac:dyDescent="0.25">
      <c r="A39" s="209" t="s">
        <v>1053</v>
      </c>
      <c r="B39" s="847">
        <v>1</v>
      </c>
      <c r="C39" s="847">
        <v>1</v>
      </c>
      <c r="D39" s="847">
        <v>0</v>
      </c>
      <c r="E39" s="847">
        <v>2</v>
      </c>
      <c r="F39" s="210">
        <v>1</v>
      </c>
      <c r="G39" s="848">
        <f t="shared" si="0"/>
        <v>1</v>
      </c>
      <c r="H39" s="210">
        <v>0</v>
      </c>
      <c r="I39" s="848">
        <f t="shared" si="1"/>
        <v>0.8</v>
      </c>
      <c r="J39" s="210">
        <v>0</v>
      </c>
      <c r="K39" s="848">
        <f t="shared" si="2"/>
        <v>0.6</v>
      </c>
      <c r="L39" s="210">
        <v>0</v>
      </c>
      <c r="M39" s="848">
        <f t="shared" si="3"/>
        <v>0.6</v>
      </c>
      <c r="N39" s="210">
        <v>2</v>
      </c>
      <c r="O39" s="848">
        <f t="shared" si="4"/>
        <v>0.6</v>
      </c>
      <c r="P39" s="210">
        <v>1</v>
      </c>
      <c r="Q39" s="848">
        <f t="shared" si="5"/>
        <v>0.6</v>
      </c>
      <c r="R39" s="210">
        <v>0</v>
      </c>
      <c r="S39" s="848">
        <f t="shared" si="6"/>
        <v>0.6</v>
      </c>
      <c r="T39" s="210">
        <v>0</v>
      </c>
      <c r="U39" s="848">
        <f t="shared" si="7"/>
        <v>0.6</v>
      </c>
      <c r="V39" s="210">
        <v>1</v>
      </c>
      <c r="W39" s="848">
        <f t="shared" si="8"/>
        <v>0.8</v>
      </c>
      <c r="X39" s="210">
        <v>1</v>
      </c>
      <c r="Y39" s="848">
        <f t="shared" si="9"/>
        <v>0.6</v>
      </c>
      <c r="Z39" s="210">
        <v>1</v>
      </c>
      <c r="AA39" s="848">
        <f t="shared" si="10"/>
        <v>0.6</v>
      </c>
      <c r="AB39" s="210">
        <v>1</v>
      </c>
      <c r="AC39" s="848">
        <f t="shared" si="11"/>
        <v>0.8</v>
      </c>
      <c r="AD39" s="210">
        <v>0</v>
      </c>
      <c r="AE39" s="848">
        <f t="shared" si="13"/>
        <v>0.8</v>
      </c>
    </row>
    <row r="40" spans="1:31" x14ac:dyDescent="0.25">
      <c r="A40" s="209" t="s">
        <v>1080</v>
      </c>
      <c r="B40" s="847">
        <v>1</v>
      </c>
      <c r="C40" s="847">
        <v>4</v>
      </c>
      <c r="D40" s="847">
        <v>2</v>
      </c>
      <c r="E40" s="847">
        <v>4</v>
      </c>
      <c r="F40" s="210">
        <v>5</v>
      </c>
      <c r="G40" s="848">
        <f t="shared" si="0"/>
        <v>3.2</v>
      </c>
      <c r="H40" s="210">
        <v>0</v>
      </c>
      <c r="I40" s="848">
        <f t="shared" si="1"/>
        <v>3</v>
      </c>
      <c r="J40" s="210">
        <v>4</v>
      </c>
      <c r="K40" s="848">
        <f t="shared" si="2"/>
        <v>3</v>
      </c>
      <c r="L40" s="210">
        <v>4</v>
      </c>
      <c r="M40" s="848">
        <f t="shared" si="3"/>
        <v>3.4</v>
      </c>
      <c r="N40" s="210">
        <v>5</v>
      </c>
      <c r="O40" s="848">
        <f t="shared" si="4"/>
        <v>3.6</v>
      </c>
      <c r="P40" s="210">
        <v>3</v>
      </c>
      <c r="Q40" s="848">
        <f t="shared" si="5"/>
        <v>3.2</v>
      </c>
      <c r="R40" s="210">
        <v>7</v>
      </c>
      <c r="S40" s="848">
        <f t="shared" si="6"/>
        <v>4.5999999999999996</v>
      </c>
      <c r="T40" s="210">
        <v>7</v>
      </c>
      <c r="U40" s="848">
        <f t="shared" si="7"/>
        <v>5.2</v>
      </c>
      <c r="V40" s="210">
        <v>1</v>
      </c>
      <c r="W40" s="848">
        <f t="shared" si="8"/>
        <v>4.5999999999999996</v>
      </c>
      <c r="X40" s="210">
        <v>4</v>
      </c>
      <c r="Y40" s="848">
        <f t="shared" si="9"/>
        <v>4.4000000000000004</v>
      </c>
      <c r="Z40" s="210">
        <v>1</v>
      </c>
      <c r="AA40" s="848">
        <f t="shared" si="10"/>
        <v>4</v>
      </c>
      <c r="AB40" s="210">
        <v>0</v>
      </c>
      <c r="AC40" s="848">
        <f t="shared" si="11"/>
        <v>2.6</v>
      </c>
      <c r="AD40" s="210">
        <v>2</v>
      </c>
      <c r="AE40" s="848">
        <f t="shared" si="13"/>
        <v>1.6</v>
      </c>
    </row>
    <row r="41" spans="1:31" x14ac:dyDescent="0.25">
      <c r="A41" s="209" t="s">
        <v>1074</v>
      </c>
      <c r="B41" s="847">
        <v>0</v>
      </c>
      <c r="C41" s="847">
        <v>0</v>
      </c>
      <c r="D41" s="847">
        <v>0</v>
      </c>
      <c r="E41" s="847">
        <v>0</v>
      </c>
      <c r="F41" s="210">
        <v>0</v>
      </c>
      <c r="G41" s="848">
        <f t="shared" si="0"/>
        <v>0</v>
      </c>
      <c r="H41" s="210">
        <v>0</v>
      </c>
      <c r="I41" s="848">
        <f t="shared" si="1"/>
        <v>0</v>
      </c>
      <c r="J41" s="210">
        <v>0</v>
      </c>
      <c r="K41" s="848">
        <f t="shared" si="2"/>
        <v>0</v>
      </c>
      <c r="L41" s="210">
        <v>0</v>
      </c>
      <c r="M41" s="848">
        <f t="shared" si="3"/>
        <v>0</v>
      </c>
      <c r="N41" s="210">
        <v>1</v>
      </c>
      <c r="O41" s="848">
        <f t="shared" si="4"/>
        <v>0.2</v>
      </c>
      <c r="P41" s="210">
        <v>0</v>
      </c>
      <c r="Q41" s="848">
        <f t="shared" si="5"/>
        <v>0.2</v>
      </c>
      <c r="R41" s="210">
        <v>0</v>
      </c>
      <c r="S41" s="848">
        <f t="shared" si="6"/>
        <v>0.2</v>
      </c>
      <c r="T41" s="210">
        <v>0</v>
      </c>
      <c r="U41" s="848">
        <f t="shared" si="7"/>
        <v>0.2</v>
      </c>
      <c r="V41" s="210">
        <v>0</v>
      </c>
      <c r="W41" s="848">
        <f t="shared" si="8"/>
        <v>0.2</v>
      </c>
      <c r="X41" s="210">
        <v>0</v>
      </c>
      <c r="Y41" s="848">
        <f t="shared" si="9"/>
        <v>0</v>
      </c>
      <c r="Z41" s="210">
        <v>0</v>
      </c>
      <c r="AA41" s="848">
        <f t="shared" si="10"/>
        <v>0</v>
      </c>
      <c r="AB41" s="210">
        <v>0</v>
      </c>
      <c r="AC41" s="848">
        <f t="shared" si="11"/>
        <v>0</v>
      </c>
      <c r="AD41" s="210">
        <v>1</v>
      </c>
      <c r="AE41" s="848">
        <f t="shared" si="13"/>
        <v>0.2</v>
      </c>
    </row>
    <row r="42" spans="1:31" x14ac:dyDescent="0.25">
      <c r="A42" s="311" t="s">
        <v>1075</v>
      </c>
      <c r="B42" s="847">
        <v>2</v>
      </c>
      <c r="C42" s="847">
        <v>0</v>
      </c>
      <c r="D42" s="847">
        <v>1</v>
      </c>
      <c r="E42" s="847">
        <v>1</v>
      </c>
      <c r="F42" s="210">
        <v>1</v>
      </c>
      <c r="G42" s="848">
        <f t="shared" si="0"/>
        <v>1</v>
      </c>
      <c r="H42" s="210">
        <v>1</v>
      </c>
      <c r="I42" s="848">
        <f t="shared" si="1"/>
        <v>0.8</v>
      </c>
      <c r="J42" s="210">
        <v>3</v>
      </c>
      <c r="K42" s="848">
        <f t="shared" si="2"/>
        <v>1.4</v>
      </c>
      <c r="L42" s="210">
        <v>2</v>
      </c>
      <c r="M42" s="848">
        <f t="shared" si="3"/>
        <v>1.6</v>
      </c>
      <c r="N42" s="210">
        <v>1</v>
      </c>
      <c r="O42" s="848">
        <f t="shared" si="4"/>
        <v>1.6</v>
      </c>
      <c r="P42" s="210">
        <v>2</v>
      </c>
      <c r="Q42" s="848">
        <f t="shared" si="5"/>
        <v>1.8</v>
      </c>
      <c r="R42" s="210">
        <v>1</v>
      </c>
      <c r="S42" s="848">
        <f t="shared" si="6"/>
        <v>1.8</v>
      </c>
      <c r="T42" s="210">
        <v>1</v>
      </c>
      <c r="U42" s="848">
        <f t="shared" si="7"/>
        <v>1.4</v>
      </c>
      <c r="V42" s="210">
        <v>1</v>
      </c>
      <c r="W42" s="848">
        <f t="shared" si="8"/>
        <v>1.2</v>
      </c>
      <c r="X42" s="210">
        <v>0</v>
      </c>
      <c r="Y42" s="848">
        <f t="shared" si="9"/>
        <v>1</v>
      </c>
      <c r="Z42" s="210">
        <v>1</v>
      </c>
      <c r="AA42" s="848">
        <f t="shared" si="10"/>
        <v>0.8</v>
      </c>
      <c r="AB42" s="210">
        <v>0</v>
      </c>
      <c r="AC42" s="848">
        <f t="shared" si="11"/>
        <v>0.6</v>
      </c>
      <c r="AD42" s="210">
        <v>2</v>
      </c>
      <c r="AE42" s="848">
        <f t="shared" si="13"/>
        <v>0.8</v>
      </c>
    </row>
    <row r="43" spans="1:31" x14ac:dyDescent="0.25">
      <c r="A43" s="311" t="s">
        <v>1139</v>
      </c>
      <c r="B43" s="847">
        <v>0</v>
      </c>
      <c r="C43" s="847">
        <v>1</v>
      </c>
      <c r="D43" s="847">
        <v>0</v>
      </c>
      <c r="E43" s="847">
        <v>1</v>
      </c>
      <c r="F43" s="210">
        <v>0</v>
      </c>
      <c r="G43" s="848">
        <f t="shared" si="0"/>
        <v>0.4</v>
      </c>
      <c r="H43" s="210">
        <v>1</v>
      </c>
      <c r="I43" s="848">
        <f t="shared" si="1"/>
        <v>0.6</v>
      </c>
      <c r="J43" s="210">
        <v>2</v>
      </c>
      <c r="K43" s="848">
        <f t="shared" si="2"/>
        <v>0.8</v>
      </c>
      <c r="L43" s="210">
        <v>1</v>
      </c>
      <c r="M43" s="848">
        <f t="shared" si="3"/>
        <v>1</v>
      </c>
      <c r="N43" s="210">
        <v>2</v>
      </c>
      <c r="O43" s="848">
        <f t="shared" si="4"/>
        <v>1.2</v>
      </c>
      <c r="P43" s="210">
        <v>1</v>
      </c>
      <c r="Q43" s="848">
        <f t="shared" si="5"/>
        <v>1.4</v>
      </c>
      <c r="R43" s="210">
        <v>2</v>
      </c>
      <c r="S43" s="848">
        <f t="shared" si="6"/>
        <v>1.6</v>
      </c>
      <c r="T43" s="210">
        <v>1</v>
      </c>
      <c r="U43" s="848">
        <f t="shared" si="7"/>
        <v>1.4</v>
      </c>
      <c r="V43" s="210">
        <v>2</v>
      </c>
      <c r="W43" s="848">
        <f t="shared" si="8"/>
        <v>1.6</v>
      </c>
      <c r="X43" s="210">
        <v>0</v>
      </c>
      <c r="Y43" s="848">
        <f t="shared" si="9"/>
        <v>1.2</v>
      </c>
      <c r="Z43" s="210">
        <v>1</v>
      </c>
      <c r="AA43" s="848">
        <f t="shared" si="10"/>
        <v>1.2</v>
      </c>
      <c r="AB43" s="210">
        <v>0</v>
      </c>
      <c r="AC43" s="848">
        <f t="shared" si="11"/>
        <v>0.8</v>
      </c>
      <c r="AD43" s="210">
        <v>0</v>
      </c>
      <c r="AE43" s="848">
        <f t="shared" si="13"/>
        <v>0.6</v>
      </c>
    </row>
    <row r="44" spans="1:31" x14ac:dyDescent="0.25">
      <c r="A44" s="311" t="s">
        <v>1140</v>
      </c>
      <c r="B44" s="210">
        <f>SUM(B5:B43)</f>
        <v>53</v>
      </c>
      <c r="C44" s="210">
        <f>SUM(C5:C43)</f>
        <v>58</v>
      </c>
      <c r="D44" s="210">
        <f>SUM(D5:D43)</f>
        <v>55</v>
      </c>
      <c r="E44" s="210">
        <f>SUM(E5:E43)</f>
        <v>69</v>
      </c>
      <c r="F44" s="210">
        <f>SUM(F5:F43)</f>
        <v>74</v>
      </c>
      <c r="G44" s="848">
        <f t="shared" si="0"/>
        <v>61.8</v>
      </c>
      <c r="H44" s="210">
        <f>SUM(H5:H43)</f>
        <v>33</v>
      </c>
      <c r="I44" s="848">
        <f t="shared" si="1"/>
        <v>57.8</v>
      </c>
      <c r="J44" s="210">
        <f>SUM(J5:J43)</f>
        <v>49</v>
      </c>
      <c r="K44" s="848">
        <f t="shared" si="2"/>
        <v>56</v>
      </c>
      <c r="L44" s="210">
        <f>SUM(L5:L43)</f>
        <v>41</v>
      </c>
      <c r="M44" s="848">
        <f t="shared" si="3"/>
        <v>53.2</v>
      </c>
      <c r="N44" s="210">
        <f>SUM(N5:N43)</f>
        <v>50</v>
      </c>
      <c r="O44" s="848">
        <f t="shared" si="4"/>
        <v>49.4</v>
      </c>
      <c r="P44" s="210">
        <f>SUM(P5:P43)</f>
        <v>62</v>
      </c>
      <c r="Q44" s="848">
        <f t="shared" si="5"/>
        <v>47</v>
      </c>
      <c r="R44" s="210">
        <f>SUM(R5:R43)</f>
        <v>42</v>
      </c>
      <c r="S44" s="848">
        <f t="shared" si="6"/>
        <v>48.8</v>
      </c>
      <c r="T44" s="210">
        <f>SUM(T5:T43)</f>
        <v>35</v>
      </c>
      <c r="U44" s="848">
        <f t="shared" si="7"/>
        <v>46</v>
      </c>
      <c r="V44" s="210">
        <f>SUM(V5:V43)</f>
        <v>38</v>
      </c>
      <c r="W44" s="848">
        <f t="shared" si="8"/>
        <v>45.4</v>
      </c>
      <c r="X44" s="210">
        <f>SUM(X5:X43)</f>
        <v>32</v>
      </c>
      <c r="Y44" s="848">
        <f t="shared" si="9"/>
        <v>41.8</v>
      </c>
      <c r="Z44" s="210">
        <f>SUM(Z5:Z43)</f>
        <v>33</v>
      </c>
      <c r="AA44" s="848">
        <f t="shared" si="10"/>
        <v>36</v>
      </c>
      <c r="AB44" s="210">
        <f>SUM(AB5:AB43)</f>
        <v>35</v>
      </c>
      <c r="AC44" s="848">
        <f t="shared" si="11"/>
        <v>34.6</v>
      </c>
      <c r="AD44" s="210">
        <f>SUM(AD5:AD43)</f>
        <v>38</v>
      </c>
      <c r="AE44" s="848">
        <f t="shared" si="13"/>
        <v>35.200000000000003</v>
      </c>
    </row>
    <row r="45" spans="1:31" x14ac:dyDescent="0.25">
      <c r="A45" s="311" t="s">
        <v>1141</v>
      </c>
      <c r="B45" s="210">
        <v>357</v>
      </c>
      <c r="C45" s="210">
        <v>364</v>
      </c>
      <c r="D45" s="210">
        <v>354</v>
      </c>
      <c r="E45" s="210">
        <v>315</v>
      </c>
      <c r="F45" s="210">
        <v>314</v>
      </c>
      <c r="G45" s="848">
        <f t="shared" si="0"/>
        <v>340.8</v>
      </c>
      <c r="H45" s="210">
        <v>364</v>
      </c>
      <c r="I45" s="848">
        <f t="shared" si="1"/>
        <v>342.2</v>
      </c>
      <c r="J45" s="210">
        <f>334+7</f>
        <v>341</v>
      </c>
      <c r="K45" s="848">
        <f t="shared" si="2"/>
        <v>337.6</v>
      </c>
      <c r="L45" s="210">
        <v>389</v>
      </c>
      <c r="M45" s="848">
        <f t="shared" si="3"/>
        <v>344.6</v>
      </c>
      <c r="N45" s="210">
        <f>492-50-26</f>
        <v>416</v>
      </c>
      <c r="O45" s="848">
        <f t="shared" si="4"/>
        <v>364.8</v>
      </c>
      <c r="P45" s="210">
        <f>477-62-41</f>
        <v>374</v>
      </c>
      <c r="Q45" s="848">
        <f t="shared" si="5"/>
        <v>376.8</v>
      </c>
      <c r="R45" s="210">
        <f>485-R44-R46</f>
        <v>435</v>
      </c>
      <c r="S45" s="848">
        <f t="shared" si="6"/>
        <v>391</v>
      </c>
      <c r="T45" s="210">
        <f>416-T44-T46</f>
        <v>367</v>
      </c>
      <c r="U45" s="848">
        <f t="shared" si="7"/>
        <v>396.2</v>
      </c>
      <c r="V45" s="210">
        <f>475-V44-V46</f>
        <v>418</v>
      </c>
      <c r="W45" s="848">
        <f t="shared" si="8"/>
        <v>402</v>
      </c>
      <c r="X45" s="210">
        <v>418</v>
      </c>
      <c r="Y45" s="848">
        <f t="shared" si="9"/>
        <v>402.4</v>
      </c>
      <c r="Z45" s="210">
        <v>403</v>
      </c>
      <c r="AA45" s="848">
        <f t="shared" si="10"/>
        <v>408.2</v>
      </c>
      <c r="AB45" s="210">
        <v>419</v>
      </c>
      <c r="AC45" s="848">
        <f t="shared" si="11"/>
        <v>405</v>
      </c>
      <c r="AD45" s="210">
        <f>497-AD44-AD46</f>
        <v>446</v>
      </c>
      <c r="AE45" s="848">
        <f t="shared" si="13"/>
        <v>420.8</v>
      </c>
    </row>
    <row r="46" spans="1:31" x14ac:dyDescent="0.25">
      <c r="A46" s="311" t="s">
        <v>1142</v>
      </c>
      <c r="B46" s="210">
        <v>22</v>
      </c>
      <c r="C46" s="210">
        <v>40</v>
      </c>
      <c r="D46" s="210">
        <v>31</v>
      </c>
      <c r="E46" s="210">
        <v>31</v>
      </c>
      <c r="F46" s="210">
        <v>17</v>
      </c>
      <c r="G46" s="848">
        <f t="shared" si="0"/>
        <v>28.2</v>
      </c>
      <c r="H46" s="210">
        <v>25</v>
      </c>
      <c r="I46" s="848">
        <f t="shared" si="1"/>
        <v>28.8</v>
      </c>
      <c r="J46" s="210">
        <f>32+4</f>
        <v>36</v>
      </c>
      <c r="K46" s="848">
        <f t="shared" si="2"/>
        <v>28</v>
      </c>
      <c r="L46" s="210">
        <v>43</v>
      </c>
      <c r="M46" s="848">
        <f t="shared" si="3"/>
        <v>30.4</v>
      </c>
      <c r="N46" s="210">
        <v>26</v>
      </c>
      <c r="O46" s="848">
        <f t="shared" si="4"/>
        <v>29.4</v>
      </c>
      <c r="P46" s="210">
        <v>41</v>
      </c>
      <c r="Q46" s="848">
        <f t="shared" si="5"/>
        <v>34.200000000000003</v>
      </c>
      <c r="R46" s="210">
        <v>8</v>
      </c>
      <c r="S46" s="848">
        <f t="shared" si="6"/>
        <v>30.8</v>
      </c>
      <c r="T46" s="210">
        <v>14</v>
      </c>
      <c r="U46" s="848">
        <f t="shared" si="7"/>
        <v>26.4</v>
      </c>
      <c r="V46" s="210">
        <v>19</v>
      </c>
      <c r="W46" s="848">
        <f t="shared" si="8"/>
        <v>21.6</v>
      </c>
      <c r="X46" s="210">
        <v>31</v>
      </c>
      <c r="Y46" s="848">
        <f t="shared" si="9"/>
        <v>22.6</v>
      </c>
      <c r="Z46" s="210">
        <v>11</v>
      </c>
      <c r="AA46" s="848">
        <f t="shared" si="10"/>
        <v>16.600000000000001</v>
      </c>
      <c r="AB46" s="210">
        <v>18</v>
      </c>
      <c r="AC46" s="848">
        <f t="shared" si="11"/>
        <v>18.600000000000001</v>
      </c>
      <c r="AD46" s="210">
        <v>13</v>
      </c>
      <c r="AE46" s="848">
        <f t="shared" si="13"/>
        <v>18.399999999999999</v>
      </c>
    </row>
    <row r="47" spans="1:31" x14ac:dyDescent="0.25">
      <c r="A47" s="437"/>
      <c r="B47" s="438"/>
      <c r="C47" s="438"/>
      <c r="D47" s="438"/>
      <c r="E47" s="438"/>
      <c r="F47" s="438"/>
      <c r="G47" s="849"/>
      <c r="H47" s="438"/>
      <c r="I47" s="849"/>
      <c r="J47" s="438"/>
      <c r="K47" s="849"/>
      <c r="L47" s="438"/>
      <c r="M47" s="849"/>
      <c r="N47" s="438"/>
      <c r="O47" s="849"/>
      <c r="P47" s="438"/>
      <c r="Q47" s="849"/>
      <c r="R47" s="438"/>
      <c r="S47" s="849"/>
      <c r="T47" s="438"/>
      <c r="U47" s="849"/>
      <c r="V47" s="438"/>
      <c r="W47" s="849"/>
      <c r="X47" s="438"/>
      <c r="Y47" s="849"/>
      <c r="Z47" s="438"/>
      <c r="AA47" s="849"/>
      <c r="AB47" s="438"/>
      <c r="AC47" s="849"/>
      <c r="AD47" s="438"/>
      <c r="AE47" s="849"/>
    </row>
    <row r="48" spans="1:31" x14ac:dyDescent="0.25">
      <c r="A48" s="312" t="s">
        <v>949</v>
      </c>
      <c r="B48" s="366">
        <f>SUM(B44:B46)</f>
        <v>432</v>
      </c>
      <c r="C48" s="366">
        <f>SUM(C44:C46)</f>
        <v>462</v>
      </c>
      <c r="D48" s="366">
        <f>SUM(D44:D46)</f>
        <v>440</v>
      </c>
      <c r="E48" s="366">
        <f>SUM(E44:E46)</f>
        <v>415</v>
      </c>
      <c r="F48" s="366">
        <f>SUM(F44:F46)</f>
        <v>405</v>
      </c>
      <c r="G48" s="848">
        <f>AVERAGE(B48:F48)</f>
        <v>430.8</v>
      </c>
      <c r="H48" s="366">
        <f>SUM(H44:H46)</f>
        <v>422</v>
      </c>
      <c r="I48" s="848">
        <f>(+H48+F48+E48+D48+C48)/5</f>
        <v>428.8</v>
      </c>
      <c r="J48" s="366">
        <f>SUM(J44:J46)</f>
        <v>426</v>
      </c>
      <c r="K48" s="848">
        <f>(+J48+H48+F48+E48+D48)/5</f>
        <v>421.6</v>
      </c>
      <c r="L48" s="366">
        <f>SUM(L44:L46)</f>
        <v>473</v>
      </c>
      <c r="M48" s="848">
        <f>(L48+J48+H48+F48+E48)/5</f>
        <v>428.2</v>
      </c>
      <c r="N48" s="366">
        <f>SUM(N44:N46)</f>
        <v>492</v>
      </c>
      <c r="O48" s="848">
        <f>(N48+L48+J48+H48+F48)/5</f>
        <v>443.6</v>
      </c>
      <c r="P48" s="366">
        <f>SUM(P44:P46)</f>
        <v>477</v>
      </c>
      <c r="Q48" s="848">
        <f>(P48+N48+L48+J48+H48)/5</f>
        <v>458</v>
      </c>
      <c r="R48" s="366">
        <f>SUM(R44:R46)</f>
        <v>485</v>
      </c>
      <c r="S48" s="848">
        <f>(R48+P48+N48+L48+J48)/5</f>
        <v>470.6</v>
      </c>
      <c r="T48" s="366">
        <f>SUM(T44:T46)</f>
        <v>416</v>
      </c>
      <c r="U48" s="848">
        <f>(T48+R48+P48+N48+L48)/5</f>
        <v>468.6</v>
      </c>
      <c r="V48" s="366">
        <f>SUM(V44:V46)</f>
        <v>475</v>
      </c>
      <c r="W48" s="848">
        <f>(V48+T48+R48+P48+N48)/5</f>
        <v>469</v>
      </c>
      <c r="X48" s="366">
        <f>SUM(X44:X46)</f>
        <v>481</v>
      </c>
      <c r="Y48" s="848">
        <f>(X48+V48+T48+R48+P48)/5</f>
        <v>466.8</v>
      </c>
      <c r="Z48" s="366">
        <f>SUM(Z44:Z46)</f>
        <v>447</v>
      </c>
      <c r="AA48" s="848">
        <f>(Z48+X48+V48+T48+R48)/5</f>
        <v>460.8</v>
      </c>
      <c r="AB48" s="366">
        <f>SUM(AB44:AB46)</f>
        <v>472</v>
      </c>
      <c r="AC48" s="848">
        <f>(AB48+Z48+X48+V48+T48)/5</f>
        <v>458.2</v>
      </c>
      <c r="AD48" s="366">
        <f>SUM(AD44:AD46)</f>
        <v>497</v>
      </c>
      <c r="AE48" s="848">
        <f>(AD48+AB48+Z48+X48+V48)/5</f>
        <v>474.4</v>
      </c>
    </row>
    <row r="49" spans="1:31" ht="33" customHeight="1" x14ac:dyDescent="0.25">
      <c r="A49" s="1789" t="s">
        <v>472</v>
      </c>
      <c r="B49" s="1789"/>
      <c r="C49" s="1789"/>
      <c r="D49" s="1789"/>
      <c r="E49" s="1789"/>
      <c r="F49" s="1789"/>
      <c r="G49" s="1789"/>
      <c r="H49" s="1789"/>
      <c r="I49" s="1789"/>
      <c r="J49" s="1789"/>
      <c r="K49" s="1789"/>
      <c r="L49" s="1789"/>
      <c r="M49" s="1789"/>
      <c r="N49" s="1789"/>
      <c r="O49" s="1789"/>
      <c r="P49" s="1789"/>
      <c r="Q49" s="1789"/>
      <c r="R49" s="1789"/>
      <c r="S49" s="1789"/>
      <c r="T49" s="1789"/>
      <c r="U49" s="1789"/>
      <c r="V49" s="1789"/>
      <c r="W49" s="1789"/>
      <c r="X49" s="1789"/>
      <c r="Y49" s="1789"/>
      <c r="Z49" s="1789"/>
      <c r="AA49" s="1789"/>
      <c r="AB49" s="1789"/>
      <c r="AC49" s="1789"/>
      <c r="AD49" s="1789"/>
      <c r="AE49" s="1789"/>
    </row>
    <row r="50" spans="1:31" x14ac:dyDescent="0.25">
      <c r="A50" s="691"/>
      <c r="B50" s="691"/>
      <c r="C50" s="691"/>
      <c r="D50" s="691"/>
      <c r="E50" s="691"/>
      <c r="F50" s="691"/>
      <c r="G50" s="691"/>
      <c r="H50" s="691"/>
      <c r="I50" s="691"/>
      <c r="J50" s="691"/>
      <c r="K50" s="691"/>
      <c r="L50" s="519"/>
      <c r="M50" s="519"/>
      <c r="N50" s="519"/>
      <c r="O50" s="519"/>
    </row>
    <row r="51" spans="1:31" x14ac:dyDescent="0.25">
      <c r="F51" s="1"/>
      <c r="G51" s="1"/>
      <c r="H51" s="1"/>
      <c r="I51" s="1"/>
    </row>
  </sheetData>
  <mergeCells count="3">
    <mergeCell ref="A1:AE1"/>
    <mergeCell ref="A2:AE2"/>
    <mergeCell ref="A49:AE49"/>
  </mergeCells>
  <phoneticPr fontId="15" type="noConversion"/>
  <printOptions horizontalCentered="1" verticalCentered="1"/>
  <pageMargins left="0.28000000000000003" right="0.21" top="1" bottom="1" header="0.5" footer="0.5"/>
  <pageSetup paperSize="5" scale="77" orientation="landscape" r:id="rId1"/>
  <headerFooter alignWithMargins="0">
    <oddFooter>&amp;LSource: Office of Institutional Research</oddFooter>
  </headerFooter>
  <legacy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pageSetUpPr fitToPage="1"/>
  </sheetPr>
  <dimension ref="A2:O43"/>
  <sheetViews>
    <sheetView zoomScale="97" zoomScaleNormal="97" workbookViewId="0">
      <selection activeCell="N19" sqref="N19"/>
    </sheetView>
  </sheetViews>
  <sheetFormatPr defaultColWidth="6.6640625" defaultRowHeight="13.2" x14ac:dyDescent="0.25"/>
  <cols>
    <col min="1" max="1" width="33" style="1" customWidth="1"/>
    <col min="2" max="9" width="6.6640625" style="1" hidden="1" customWidth="1"/>
    <col min="10" max="10" width="6.6640625" style="1" customWidth="1"/>
    <col min="11" max="14" width="6.6640625" style="1"/>
    <col min="15" max="15" width="0" style="1" hidden="1" customWidth="1"/>
    <col min="16" max="16384" width="6.6640625" style="1"/>
  </cols>
  <sheetData>
    <row r="2" spans="1:15" ht="19.2" x14ac:dyDescent="0.35">
      <c r="A2" s="1755" t="s">
        <v>549</v>
      </c>
      <c r="B2" s="1755"/>
      <c r="C2" s="1755"/>
      <c r="D2" s="1755"/>
      <c r="E2" s="1755"/>
      <c r="F2" s="1755"/>
      <c r="G2" s="1755"/>
      <c r="H2" s="1755"/>
      <c r="I2" s="1755"/>
      <c r="J2" s="1755"/>
      <c r="K2" s="1755"/>
      <c r="L2" s="1755"/>
      <c r="M2" s="1755"/>
      <c r="N2" s="1755"/>
      <c r="O2" s="1755"/>
    </row>
    <row r="4" spans="1:15" x14ac:dyDescent="0.25">
      <c r="A4" s="1496"/>
      <c r="B4" s="1497"/>
      <c r="C4" s="1498"/>
      <c r="D4" s="1498"/>
      <c r="E4" s="1496"/>
      <c r="F4" s="1496"/>
      <c r="G4" s="1499"/>
      <c r="H4" s="1499"/>
      <c r="I4" s="1499"/>
      <c r="J4" s="1499"/>
      <c r="K4" s="1499"/>
      <c r="L4" s="1499"/>
      <c r="M4" s="1499"/>
      <c r="N4" s="1499"/>
      <c r="O4" s="1499"/>
    </row>
    <row r="5" spans="1:15" x14ac:dyDescent="0.25">
      <c r="A5" s="1500"/>
      <c r="B5" s="1501"/>
      <c r="C5" s="1501"/>
      <c r="D5" s="1502"/>
      <c r="E5" s="1502"/>
      <c r="F5" s="1502"/>
      <c r="G5" s="321"/>
      <c r="H5" s="321"/>
      <c r="I5" s="321"/>
      <c r="J5" s="321"/>
      <c r="K5" s="321"/>
      <c r="L5" s="321"/>
      <c r="M5" s="321"/>
      <c r="N5" s="321"/>
      <c r="O5" s="321"/>
    </row>
    <row r="6" spans="1:15" x14ac:dyDescent="0.25">
      <c r="A6" s="1503" t="s">
        <v>1586</v>
      </c>
      <c r="B6" s="87">
        <v>2000</v>
      </c>
      <c r="C6" s="87">
        <v>2001</v>
      </c>
      <c r="D6" s="87">
        <v>2002</v>
      </c>
      <c r="E6" s="87">
        <v>2003</v>
      </c>
      <c r="F6" s="87">
        <v>2004</v>
      </c>
      <c r="G6" s="87">
        <v>2005</v>
      </c>
      <c r="H6" s="87">
        <v>2006</v>
      </c>
      <c r="I6" s="87">
        <v>2007</v>
      </c>
      <c r="J6" s="87">
        <v>2008</v>
      </c>
      <c r="K6" s="87">
        <v>2009</v>
      </c>
      <c r="L6" s="87">
        <v>2010</v>
      </c>
      <c r="M6" s="87">
        <v>2011</v>
      </c>
      <c r="N6" s="87">
        <v>2012</v>
      </c>
      <c r="O6" s="87">
        <v>2013</v>
      </c>
    </row>
    <row r="7" spans="1:15" x14ac:dyDescent="0.25">
      <c r="A7" s="1493" t="s">
        <v>1587</v>
      </c>
      <c r="B7" s="87"/>
      <c r="C7" s="87"/>
      <c r="D7" s="87"/>
      <c r="E7" s="87"/>
      <c r="F7" s="87"/>
      <c r="G7" s="87"/>
      <c r="H7" s="87"/>
      <c r="I7" s="87"/>
      <c r="J7" s="87"/>
      <c r="K7" s="87"/>
      <c r="L7" s="1504">
        <v>185</v>
      </c>
      <c r="M7" s="1504">
        <v>345</v>
      </c>
      <c r="N7" s="1504">
        <v>352</v>
      </c>
      <c r="O7" s="1504">
        <v>342</v>
      </c>
    </row>
    <row r="8" spans="1:15" x14ac:dyDescent="0.25">
      <c r="A8" s="1493" t="s">
        <v>550</v>
      </c>
      <c r="B8" s="1504">
        <v>276</v>
      </c>
      <c r="C8" s="1504">
        <v>264</v>
      </c>
      <c r="D8" s="1504">
        <v>273</v>
      </c>
      <c r="E8" s="1504">
        <v>254</v>
      </c>
      <c r="F8" s="1504">
        <v>266</v>
      </c>
      <c r="G8" s="1504">
        <v>259</v>
      </c>
      <c r="H8" s="1504">
        <v>253</v>
      </c>
      <c r="I8" s="1504">
        <v>136</v>
      </c>
      <c r="J8" s="1504">
        <v>168</v>
      </c>
      <c r="K8" s="1504">
        <v>273</v>
      </c>
      <c r="L8" s="1504">
        <v>274</v>
      </c>
      <c r="M8" s="1504">
        <v>264</v>
      </c>
      <c r="N8" s="1504">
        <v>246</v>
      </c>
      <c r="O8" s="1504">
        <v>185</v>
      </c>
    </row>
    <row r="9" spans="1:15" x14ac:dyDescent="0.25">
      <c r="A9" s="1493" t="s">
        <v>1588</v>
      </c>
      <c r="B9" s="1504"/>
      <c r="C9" s="1504"/>
      <c r="D9" s="1504"/>
      <c r="E9" s="1504"/>
      <c r="F9" s="1504"/>
      <c r="G9" s="1504"/>
      <c r="H9" s="1504">
        <v>284</v>
      </c>
      <c r="I9" s="1504">
        <v>291</v>
      </c>
      <c r="J9" s="1504">
        <v>291</v>
      </c>
      <c r="K9" s="1504">
        <v>300</v>
      </c>
      <c r="L9" s="1504">
        <v>297</v>
      </c>
      <c r="M9" s="1504">
        <v>294</v>
      </c>
      <c r="N9" s="1504">
        <v>295</v>
      </c>
      <c r="O9" s="1504">
        <v>283</v>
      </c>
    </row>
    <row r="10" spans="1:15" x14ac:dyDescent="0.25">
      <c r="A10" s="1493" t="s">
        <v>551</v>
      </c>
      <c r="B10" s="1504">
        <v>62</v>
      </c>
      <c r="C10" s="1504">
        <v>49</v>
      </c>
      <c r="D10" s="1504">
        <v>62</v>
      </c>
      <c r="E10" s="1504">
        <v>93</v>
      </c>
      <c r="F10" s="1504">
        <v>97</v>
      </c>
      <c r="G10" s="1504">
        <v>90</v>
      </c>
      <c r="H10" s="1504">
        <v>95</v>
      </c>
      <c r="I10" s="1504">
        <v>77</v>
      </c>
      <c r="J10" s="1504">
        <v>93</v>
      </c>
      <c r="K10" s="1504">
        <v>99</v>
      </c>
      <c r="L10" s="1504">
        <v>99</v>
      </c>
      <c r="M10" s="1504">
        <v>98</v>
      </c>
      <c r="N10" s="1504">
        <v>95</v>
      </c>
      <c r="O10" s="1504">
        <v>93</v>
      </c>
    </row>
    <row r="11" spans="1:15" hidden="1" x14ac:dyDescent="0.25">
      <c r="A11" s="1493" t="s">
        <v>552</v>
      </c>
      <c r="B11" s="1504">
        <v>115</v>
      </c>
      <c r="C11" s="1504">
        <v>97</v>
      </c>
      <c r="D11" s="1504">
        <v>113</v>
      </c>
      <c r="E11" s="1504">
        <v>94</v>
      </c>
      <c r="F11" s="1504">
        <v>59</v>
      </c>
      <c r="G11" s="1504">
        <v>64</v>
      </c>
      <c r="H11" s="1504"/>
      <c r="I11" s="1504"/>
      <c r="J11" s="1504"/>
      <c r="K11" s="1504"/>
      <c r="L11" s="1504"/>
      <c r="M11" s="1504"/>
      <c r="N11" s="1504"/>
      <c r="O11" s="1504"/>
    </row>
    <row r="12" spans="1:15" hidden="1" x14ac:dyDescent="0.25">
      <c r="A12" s="1493" t="s">
        <v>556</v>
      </c>
      <c r="B12" s="1504">
        <v>142</v>
      </c>
      <c r="C12" s="1504">
        <v>132</v>
      </c>
      <c r="D12" s="1504">
        <v>141</v>
      </c>
      <c r="E12" s="1504">
        <v>121</v>
      </c>
      <c r="F12" s="1504">
        <v>139</v>
      </c>
      <c r="G12" s="1504">
        <v>130</v>
      </c>
      <c r="H12" s="1504"/>
      <c r="I12" s="1504"/>
      <c r="J12" s="1504"/>
      <c r="K12" s="1504"/>
      <c r="L12" s="1504"/>
      <c r="M12" s="1504"/>
      <c r="N12" s="1504"/>
      <c r="O12" s="1504"/>
    </row>
    <row r="13" spans="1:15" x14ac:dyDescent="0.25">
      <c r="A13" s="1493" t="s">
        <v>1589</v>
      </c>
      <c r="B13" s="1504"/>
      <c r="C13" s="1504"/>
      <c r="D13" s="1504"/>
      <c r="E13" s="1504"/>
      <c r="F13" s="1504"/>
      <c r="G13" s="1504"/>
      <c r="H13" s="1504"/>
      <c r="I13" s="1504"/>
      <c r="J13" s="1504"/>
      <c r="K13" s="1504">
        <v>90</v>
      </c>
      <c r="L13" s="1504">
        <v>88</v>
      </c>
      <c r="M13" s="1504"/>
      <c r="N13" s="1504"/>
      <c r="O13" s="1504"/>
    </row>
    <row r="14" spans="1:15" x14ac:dyDescent="0.25">
      <c r="A14" s="1493" t="s">
        <v>554</v>
      </c>
      <c r="B14" s="1504">
        <v>240</v>
      </c>
      <c r="C14" s="1504">
        <v>237</v>
      </c>
      <c r="D14" s="1504">
        <v>233</v>
      </c>
      <c r="E14" s="1504">
        <v>222</v>
      </c>
      <c r="F14" s="1504">
        <v>225</v>
      </c>
      <c r="G14" s="1504">
        <v>226</v>
      </c>
      <c r="H14" s="1504">
        <v>80</v>
      </c>
      <c r="I14" s="1504">
        <v>84</v>
      </c>
      <c r="J14" s="1504">
        <v>182</v>
      </c>
      <c r="K14" s="1504">
        <v>220</v>
      </c>
      <c r="L14" s="1504">
        <v>210</v>
      </c>
      <c r="M14" s="1504">
        <v>215</v>
      </c>
      <c r="N14" s="1504">
        <v>218</v>
      </c>
      <c r="O14" s="1504">
        <v>216</v>
      </c>
    </row>
    <row r="15" spans="1:15" x14ac:dyDescent="0.25">
      <c r="A15" s="1493" t="s">
        <v>1590</v>
      </c>
      <c r="B15" s="1504"/>
      <c r="C15" s="1504"/>
      <c r="D15" s="1504"/>
      <c r="E15" s="1504"/>
      <c r="F15" s="1504"/>
      <c r="G15" s="1504"/>
      <c r="H15" s="1504"/>
      <c r="I15" s="1504"/>
      <c r="J15" s="1504"/>
      <c r="K15" s="1504">
        <v>27</v>
      </c>
      <c r="L15" s="1504">
        <v>25</v>
      </c>
      <c r="M15" s="1504">
        <v>30</v>
      </c>
      <c r="N15" s="1504">
        <v>29</v>
      </c>
      <c r="O15" s="1504">
        <v>29</v>
      </c>
    </row>
    <row r="16" spans="1:15" x14ac:dyDescent="0.25">
      <c r="A16" s="1493" t="s">
        <v>553</v>
      </c>
      <c r="B16" s="1504">
        <v>68</v>
      </c>
      <c r="C16" s="1504">
        <v>66</v>
      </c>
      <c r="D16" s="1504">
        <v>66</v>
      </c>
      <c r="E16" s="1504">
        <v>61</v>
      </c>
      <c r="F16" s="1504">
        <v>67</v>
      </c>
      <c r="G16" s="1504">
        <v>65</v>
      </c>
      <c r="H16" s="1504">
        <v>67</v>
      </c>
      <c r="I16" s="1504">
        <v>65</v>
      </c>
      <c r="J16" s="1504">
        <v>67</v>
      </c>
      <c r="K16" s="1504">
        <v>68</v>
      </c>
      <c r="L16" s="1504">
        <v>64</v>
      </c>
      <c r="M16" s="1504">
        <v>64</v>
      </c>
      <c r="N16" s="1504">
        <v>65</v>
      </c>
      <c r="O16" s="1504">
        <v>65</v>
      </c>
    </row>
    <row r="17" spans="1:15" x14ac:dyDescent="0.25">
      <c r="A17" s="1493" t="s">
        <v>1591</v>
      </c>
      <c r="B17" s="1504"/>
      <c r="C17" s="1504"/>
      <c r="D17" s="1504"/>
      <c r="E17" s="1504"/>
      <c r="F17" s="1504"/>
      <c r="G17" s="1504"/>
      <c r="H17" s="1504"/>
      <c r="I17" s="1504"/>
      <c r="J17" s="1504"/>
      <c r="K17" s="1504"/>
      <c r="L17" s="1504">
        <v>76</v>
      </c>
      <c r="M17" s="1504">
        <v>79</v>
      </c>
      <c r="N17" s="1504">
        <v>81</v>
      </c>
      <c r="O17" s="1504">
        <v>79</v>
      </c>
    </row>
    <row r="18" spans="1:15" x14ac:dyDescent="0.25">
      <c r="A18" s="1493" t="s">
        <v>555</v>
      </c>
      <c r="B18" s="1504">
        <v>119</v>
      </c>
      <c r="C18" s="1504">
        <v>117</v>
      </c>
      <c r="D18" s="1504">
        <v>115</v>
      </c>
      <c r="E18" s="1504">
        <v>111</v>
      </c>
      <c r="F18" s="1504">
        <v>118</v>
      </c>
      <c r="G18" s="1504">
        <v>117</v>
      </c>
      <c r="H18" s="1504">
        <v>110</v>
      </c>
      <c r="I18" s="1504">
        <v>83</v>
      </c>
      <c r="J18" s="1504">
        <v>105</v>
      </c>
      <c r="K18" s="1504">
        <v>121</v>
      </c>
      <c r="L18" s="1504">
        <v>124</v>
      </c>
      <c r="M18" s="1504">
        <v>112</v>
      </c>
      <c r="N18" s="1504">
        <v>97</v>
      </c>
      <c r="O18" s="1504">
        <v>72</v>
      </c>
    </row>
    <row r="19" spans="1:15" x14ac:dyDescent="0.25">
      <c r="A19" s="1505" t="s">
        <v>1592</v>
      </c>
      <c r="B19" s="1504">
        <f t="shared" ref="B19:K19" si="0">SUM(B8:B18)</f>
        <v>1022</v>
      </c>
      <c r="C19" s="1504">
        <f t="shared" si="0"/>
        <v>962</v>
      </c>
      <c r="D19" s="1504">
        <f t="shared" si="0"/>
        <v>1003</v>
      </c>
      <c r="E19" s="1504">
        <f t="shared" si="0"/>
        <v>956</v>
      </c>
      <c r="F19" s="1504">
        <f t="shared" si="0"/>
        <v>971</v>
      </c>
      <c r="G19" s="1504">
        <f t="shared" si="0"/>
        <v>951</v>
      </c>
      <c r="H19" s="1504">
        <f t="shared" si="0"/>
        <v>889</v>
      </c>
      <c r="I19" s="1504">
        <f t="shared" si="0"/>
        <v>736</v>
      </c>
      <c r="J19" s="1504">
        <f t="shared" si="0"/>
        <v>906</v>
      </c>
      <c r="K19" s="1504">
        <f t="shared" si="0"/>
        <v>1198</v>
      </c>
      <c r="L19" s="1504">
        <f>SUM(L7:L18)</f>
        <v>1442</v>
      </c>
      <c r="M19" s="1504">
        <f>SUM(M7:M18)</f>
        <v>1501</v>
      </c>
      <c r="N19" s="1504">
        <f>SUM(N7:N18)</f>
        <v>1478</v>
      </c>
      <c r="O19" s="1504">
        <f>SUM(O7:O18)</f>
        <v>1364</v>
      </c>
    </row>
    <row r="20" spans="1:15" s="1495" customFormat="1" x14ac:dyDescent="0.25">
      <c r="A20" s="1506" t="s">
        <v>1593</v>
      </c>
      <c r="B20" s="1507">
        <v>0.94</v>
      </c>
      <c r="C20" s="1507">
        <v>0.89</v>
      </c>
      <c r="D20" s="1507">
        <v>0.93</v>
      </c>
      <c r="E20" s="1507">
        <v>0.88</v>
      </c>
      <c r="F20" s="1507">
        <v>0.94</v>
      </c>
      <c r="G20" s="1507">
        <v>0.92</v>
      </c>
      <c r="H20" s="1507">
        <v>0.92</v>
      </c>
      <c r="I20" s="1507">
        <v>0.83</v>
      </c>
      <c r="J20" s="1507">
        <v>0.86</v>
      </c>
      <c r="K20" s="1507">
        <v>0.99</v>
      </c>
      <c r="L20" s="1507">
        <v>0.99</v>
      </c>
      <c r="M20" s="1507">
        <v>0.95</v>
      </c>
      <c r="N20" s="1507">
        <v>0.94</v>
      </c>
      <c r="O20" s="1507">
        <v>0.92</v>
      </c>
    </row>
    <row r="21" spans="1:15" x14ac:dyDescent="0.25">
      <c r="A21" s="1508"/>
      <c r="B21" s="1495"/>
      <c r="C21" s="1495"/>
      <c r="D21" s="1495"/>
      <c r="E21" s="1495"/>
      <c r="F21" s="1495"/>
      <c r="G21" s="1495"/>
      <c r="H21" s="1495"/>
      <c r="I21" s="1495"/>
      <c r="J21" s="1495"/>
      <c r="K21" s="1495"/>
      <c r="L21" s="1495"/>
      <c r="M21" s="1495"/>
      <c r="N21" s="1495"/>
      <c r="O21" s="1495"/>
    </row>
    <row r="22" spans="1:15" x14ac:dyDescent="0.25">
      <c r="A22" s="7"/>
    </row>
    <row r="23" spans="1:15" ht="19.2" x14ac:dyDescent="0.35">
      <c r="A23" s="1755" t="s">
        <v>557</v>
      </c>
      <c r="B23" s="1755"/>
      <c r="C23" s="1755"/>
      <c r="D23" s="1755"/>
      <c r="E23" s="1755"/>
      <c r="F23" s="1755"/>
      <c r="G23" s="1755"/>
      <c r="H23" s="1755"/>
      <c r="I23" s="1755"/>
      <c r="J23" s="1755"/>
      <c r="K23" s="1755"/>
      <c r="L23" s="1755"/>
      <c r="M23" s="1755"/>
      <c r="N23" s="1755"/>
      <c r="O23" s="1755"/>
    </row>
    <row r="24" spans="1:15" x14ac:dyDescent="0.25">
      <c r="A24" s="1495"/>
      <c r="B24" s="1495"/>
      <c r="C24" s="1495"/>
      <c r="D24" s="1495"/>
      <c r="E24" s="1495"/>
      <c r="F24" s="1495"/>
      <c r="G24" s="1495"/>
      <c r="H24" s="1495"/>
      <c r="I24" s="1495"/>
      <c r="J24" s="1495"/>
      <c r="K24" s="1495"/>
      <c r="L24" s="1495"/>
      <c r="M24" s="1495"/>
      <c r="N24" s="1495"/>
      <c r="O24" s="1495"/>
    </row>
    <row r="25" spans="1:15" x14ac:dyDescent="0.25">
      <c r="A25" s="1496"/>
      <c r="B25" s="1499"/>
      <c r="C25" s="1499"/>
      <c r="D25" s="1499"/>
      <c r="E25" s="1497"/>
      <c r="F25" s="1496"/>
      <c r="G25" s="1499"/>
      <c r="H25" s="1499"/>
      <c r="I25" s="1499"/>
      <c r="J25" s="1499"/>
      <c r="K25" s="1499"/>
      <c r="L25" s="1499"/>
      <c r="M25" s="1499"/>
      <c r="N25" s="1499"/>
      <c r="O25" s="1499"/>
    </row>
    <row r="26" spans="1:15" x14ac:dyDescent="0.25">
      <c r="A26" s="1500"/>
      <c r="B26" s="1509"/>
      <c r="C26" s="1509"/>
      <c r="D26" s="1509"/>
      <c r="E26" s="1495"/>
      <c r="F26" s="1502"/>
      <c r="G26" s="321"/>
      <c r="H26" s="321"/>
      <c r="I26" s="321"/>
      <c r="J26" s="321"/>
      <c r="K26" s="321"/>
      <c r="L26" s="321"/>
      <c r="M26" s="321"/>
      <c r="N26" s="321"/>
      <c r="O26" s="321"/>
    </row>
    <row r="27" spans="1:15" x14ac:dyDescent="0.25">
      <c r="A27" s="1503" t="s">
        <v>1586</v>
      </c>
      <c r="B27" s="1503">
        <v>2001</v>
      </c>
      <c r="C27" s="87">
        <v>2002</v>
      </c>
      <c r="D27" s="87">
        <v>2003</v>
      </c>
      <c r="E27" s="87">
        <v>2004</v>
      </c>
      <c r="F27" s="87">
        <v>2005</v>
      </c>
      <c r="G27" s="87">
        <v>2006</v>
      </c>
      <c r="H27" s="87">
        <v>2007</v>
      </c>
      <c r="I27" s="87">
        <v>2008</v>
      </c>
      <c r="J27" s="87">
        <v>2009</v>
      </c>
      <c r="K27" s="87">
        <v>2010</v>
      </c>
      <c r="L27" s="87">
        <v>2011</v>
      </c>
      <c r="M27" s="87">
        <v>2012</v>
      </c>
      <c r="N27" s="87">
        <v>2013</v>
      </c>
      <c r="O27" s="87">
        <v>2014</v>
      </c>
    </row>
    <row r="28" spans="1:15" x14ac:dyDescent="0.25">
      <c r="A28" s="1493" t="s">
        <v>1587</v>
      </c>
      <c r="B28" s="87"/>
      <c r="C28" s="87"/>
      <c r="D28" s="87"/>
      <c r="E28" s="87"/>
      <c r="F28" s="87"/>
      <c r="G28" s="87"/>
      <c r="H28" s="87"/>
      <c r="I28" s="87"/>
      <c r="J28" s="87"/>
      <c r="K28" s="87"/>
      <c r="L28" s="1504">
        <v>172</v>
      </c>
      <c r="M28" s="1504">
        <v>333</v>
      </c>
      <c r="N28" s="1504">
        <v>311</v>
      </c>
      <c r="O28" s="1504"/>
    </row>
    <row r="29" spans="1:15" x14ac:dyDescent="0.25">
      <c r="A29" s="1493" t="s">
        <v>550</v>
      </c>
      <c r="B29" s="1504">
        <v>232</v>
      </c>
      <c r="C29" s="1504">
        <v>231</v>
      </c>
      <c r="D29" s="1510">
        <v>252</v>
      </c>
      <c r="E29" s="1510">
        <v>211</v>
      </c>
      <c r="F29" s="1510">
        <v>228</v>
      </c>
      <c r="G29" s="1510">
        <v>202</v>
      </c>
      <c r="H29" s="1510">
        <v>209</v>
      </c>
      <c r="I29" s="1504">
        <v>114</v>
      </c>
      <c r="J29" s="1504">
        <v>169</v>
      </c>
      <c r="K29" s="1504">
        <v>257</v>
      </c>
      <c r="L29" s="1504">
        <v>258</v>
      </c>
      <c r="M29" s="1504">
        <v>242</v>
      </c>
      <c r="N29" s="1504">
        <v>208</v>
      </c>
      <c r="O29" s="1504"/>
    </row>
    <row r="30" spans="1:15" x14ac:dyDescent="0.25">
      <c r="A30" s="1493" t="s">
        <v>1588</v>
      </c>
      <c r="B30" s="1504"/>
      <c r="C30" s="1504"/>
      <c r="D30" s="1510"/>
      <c r="E30" s="1510"/>
      <c r="F30" s="1510"/>
      <c r="G30" s="1510">
        <v>290</v>
      </c>
      <c r="H30" s="1510">
        <v>250</v>
      </c>
      <c r="I30" s="1504">
        <v>276</v>
      </c>
      <c r="J30" s="1504">
        <v>285</v>
      </c>
      <c r="K30" s="1504">
        <v>290</v>
      </c>
      <c r="L30" s="1504">
        <v>286</v>
      </c>
      <c r="M30" s="1504">
        <v>279</v>
      </c>
      <c r="N30" s="1504">
        <v>284</v>
      </c>
      <c r="O30" s="1504"/>
    </row>
    <row r="31" spans="1:15" x14ac:dyDescent="0.25">
      <c r="A31" s="1493" t="s">
        <v>551</v>
      </c>
      <c r="B31" s="1504">
        <v>49</v>
      </c>
      <c r="C31" s="1504">
        <v>42</v>
      </c>
      <c r="D31" s="1510">
        <v>0</v>
      </c>
      <c r="E31" s="1510">
        <v>80</v>
      </c>
      <c r="F31" s="1510">
        <v>80</v>
      </c>
      <c r="G31" s="1510">
        <v>83</v>
      </c>
      <c r="H31" s="1510">
        <v>74</v>
      </c>
      <c r="I31" s="1504">
        <v>67</v>
      </c>
      <c r="J31" s="1504">
        <v>82</v>
      </c>
      <c r="K31" s="1504">
        <v>97</v>
      </c>
      <c r="L31" s="1504">
        <v>92</v>
      </c>
      <c r="M31" s="1504">
        <v>84</v>
      </c>
      <c r="N31" s="1504">
        <v>83</v>
      </c>
      <c r="O31" s="1504"/>
    </row>
    <row r="32" spans="1:15" hidden="1" x14ac:dyDescent="0.25">
      <c r="A32" s="1493" t="s">
        <v>552</v>
      </c>
      <c r="B32" s="1504">
        <v>96</v>
      </c>
      <c r="C32" s="1504">
        <v>88</v>
      </c>
      <c r="D32" s="1510">
        <v>104</v>
      </c>
      <c r="E32" s="1510">
        <v>80</v>
      </c>
      <c r="F32" s="1510">
        <v>46</v>
      </c>
      <c r="G32" s="1510">
        <v>56</v>
      </c>
      <c r="H32" s="1510"/>
      <c r="I32" s="1504"/>
      <c r="J32" s="1504"/>
      <c r="K32" s="1504"/>
      <c r="L32" s="1504"/>
      <c r="M32" s="1504"/>
      <c r="N32" s="1504"/>
      <c r="O32" s="1504"/>
    </row>
    <row r="33" spans="1:15" hidden="1" x14ac:dyDescent="0.25">
      <c r="A33" s="1493" t="s">
        <v>556</v>
      </c>
      <c r="B33" s="1504">
        <v>132</v>
      </c>
      <c r="C33" s="1504">
        <v>117</v>
      </c>
      <c r="D33" s="1510">
        <v>130</v>
      </c>
      <c r="E33" s="1510">
        <v>97</v>
      </c>
      <c r="F33" s="1510">
        <v>114</v>
      </c>
      <c r="G33" s="1510"/>
      <c r="H33" s="1510"/>
      <c r="I33" s="1504"/>
      <c r="J33" s="1504"/>
      <c r="K33" s="1504"/>
      <c r="L33" s="1504"/>
      <c r="M33" s="1504"/>
      <c r="N33" s="1504"/>
      <c r="O33" s="1504"/>
    </row>
    <row r="34" spans="1:15" x14ac:dyDescent="0.25">
      <c r="A34" s="1493" t="s">
        <v>1589</v>
      </c>
      <c r="B34" s="1504"/>
      <c r="C34" s="1504"/>
      <c r="D34" s="1510"/>
      <c r="E34" s="1510"/>
      <c r="F34" s="1510"/>
      <c r="G34" s="1510"/>
      <c r="H34" s="1510"/>
      <c r="I34" s="1504"/>
      <c r="J34" s="1504"/>
      <c r="K34" s="1504">
        <v>80</v>
      </c>
      <c r="L34" s="1504">
        <v>73</v>
      </c>
      <c r="M34" s="1504"/>
      <c r="N34" s="1504"/>
      <c r="O34" s="1504"/>
    </row>
    <row r="35" spans="1:15" x14ac:dyDescent="0.25">
      <c r="A35" s="1493" t="s">
        <v>554</v>
      </c>
      <c r="B35" s="1504">
        <v>223</v>
      </c>
      <c r="C35" s="1504">
        <v>218</v>
      </c>
      <c r="D35" s="1510">
        <v>219</v>
      </c>
      <c r="E35" s="1510">
        <v>194</v>
      </c>
      <c r="F35" s="1510">
        <v>211</v>
      </c>
      <c r="G35" s="1510"/>
      <c r="H35" s="1510">
        <v>70</v>
      </c>
      <c r="I35" s="1504">
        <v>74</v>
      </c>
      <c r="J35" s="1504">
        <v>170</v>
      </c>
      <c r="K35" s="1504">
        <v>197</v>
      </c>
      <c r="L35" s="1504">
        <v>209</v>
      </c>
      <c r="M35" s="1504">
        <v>185</v>
      </c>
      <c r="N35" s="1504">
        <v>198</v>
      </c>
      <c r="O35" s="1504"/>
    </row>
    <row r="36" spans="1:15" x14ac:dyDescent="0.25">
      <c r="A36" s="1493" t="s">
        <v>1590</v>
      </c>
      <c r="B36" s="1504"/>
      <c r="C36" s="1504"/>
      <c r="D36" s="1510"/>
      <c r="E36" s="1510"/>
      <c r="F36" s="1510"/>
      <c r="G36" s="1510"/>
      <c r="H36" s="1510"/>
      <c r="I36" s="1504"/>
      <c r="J36" s="1504"/>
      <c r="K36" s="1504">
        <v>26</v>
      </c>
      <c r="L36" s="1504">
        <v>23</v>
      </c>
      <c r="M36" s="1504">
        <v>28</v>
      </c>
      <c r="N36" s="1504">
        <v>27</v>
      </c>
      <c r="O36" s="1504"/>
    </row>
    <row r="37" spans="1:15" x14ac:dyDescent="0.25">
      <c r="A37" s="1493" t="s">
        <v>553</v>
      </c>
      <c r="B37" s="1504">
        <v>67</v>
      </c>
      <c r="C37" s="1504">
        <v>62</v>
      </c>
      <c r="D37" s="1510">
        <v>66</v>
      </c>
      <c r="E37" s="1510">
        <v>64</v>
      </c>
      <c r="F37" s="1510">
        <v>66</v>
      </c>
      <c r="G37" s="1510">
        <v>68</v>
      </c>
      <c r="H37" s="1510">
        <v>65</v>
      </c>
      <c r="I37" s="1504">
        <v>65</v>
      </c>
      <c r="J37" s="1504">
        <v>68</v>
      </c>
      <c r="K37" s="1504">
        <v>64</v>
      </c>
      <c r="L37" s="1504">
        <v>61</v>
      </c>
      <c r="M37" s="1504">
        <v>59</v>
      </c>
      <c r="N37" s="1504">
        <v>66</v>
      </c>
      <c r="O37" s="1504"/>
    </row>
    <row r="38" spans="1:15" x14ac:dyDescent="0.25">
      <c r="A38" s="1493" t="s">
        <v>1591</v>
      </c>
      <c r="B38" s="1504"/>
      <c r="C38" s="1504"/>
      <c r="D38" s="1510"/>
      <c r="E38" s="1510"/>
      <c r="F38" s="1510"/>
      <c r="G38" s="1510"/>
      <c r="H38" s="1510"/>
      <c r="I38" s="1504"/>
      <c r="J38" s="1504"/>
      <c r="K38" s="1504"/>
      <c r="L38" s="1504">
        <v>81</v>
      </c>
      <c r="M38" s="1504">
        <v>74</v>
      </c>
      <c r="N38" s="1504">
        <v>69</v>
      </c>
      <c r="O38" s="1504"/>
    </row>
    <row r="39" spans="1:15" x14ac:dyDescent="0.25">
      <c r="A39" s="1493" t="s">
        <v>555</v>
      </c>
      <c r="B39" s="1504">
        <v>98</v>
      </c>
      <c r="C39" s="1504">
        <v>106</v>
      </c>
      <c r="D39" s="1510">
        <v>111</v>
      </c>
      <c r="E39" s="1510">
        <v>99</v>
      </c>
      <c r="F39" s="1510">
        <v>112</v>
      </c>
      <c r="G39" s="1510">
        <v>114</v>
      </c>
      <c r="H39" s="1510">
        <v>94</v>
      </c>
      <c r="I39" s="1504">
        <v>81</v>
      </c>
      <c r="J39" s="1504">
        <v>102</v>
      </c>
      <c r="K39" s="1504">
        <v>116</v>
      </c>
      <c r="L39" s="1504">
        <v>118</v>
      </c>
      <c r="M39" s="1504">
        <v>107</v>
      </c>
      <c r="N39" s="1504">
        <v>80</v>
      </c>
      <c r="O39" s="1504"/>
    </row>
    <row r="40" spans="1:15" x14ac:dyDescent="0.25">
      <c r="A40" s="1505" t="s">
        <v>1592</v>
      </c>
      <c r="B40" s="1504">
        <f t="shared" ref="B40:K40" si="1">SUM(B29:B39)</f>
        <v>897</v>
      </c>
      <c r="C40" s="1504">
        <f t="shared" si="1"/>
        <v>864</v>
      </c>
      <c r="D40" s="1504">
        <f t="shared" si="1"/>
        <v>882</v>
      </c>
      <c r="E40" s="1504">
        <f t="shared" si="1"/>
        <v>825</v>
      </c>
      <c r="F40" s="1504">
        <f t="shared" si="1"/>
        <v>857</v>
      </c>
      <c r="G40" s="1504">
        <f t="shared" si="1"/>
        <v>813</v>
      </c>
      <c r="H40" s="1504">
        <f t="shared" si="1"/>
        <v>762</v>
      </c>
      <c r="I40" s="1504">
        <f t="shared" si="1"/>
        <v>677</v>
      </c>
      <c r="J40" s="1504">
        <f t="shared" si="1"/>
        <v>876</v>
      </c>
      <c r="K40" s="1504">
        <f t="shared" si="1"/>
        <v>1127</v>
      </c>
      <c r="L40" s="1504">
        <f>SUM(L28:L39)</f>
        <v>1373</v>
      </c>
      <c r="M40" s="1504">
        <f>SUM(M28:M39)</f>
        <v>1391</v>
      </c>
      <c r="N40" s="1504">
        <f>SUM(N28:N39)</f>
        <v>1326</v>
      </c>
      <c r="O40" s="1504"/>
    </row>
    <row r="41" spans="1:15" x14ac:dyDescent="0.25">
      <c r="A41" s="1506" t="s">
        <v>1593</v>
      </c>
      <c r="B41" s="1507">
        <v>0.86</v>
      </c>
      <c r="C41" s="1507">
        <v>0.86</v>
      </c>
      <c r="D41" s="1507">
        <v>0.81</v>
      </c>
      <c r="E41" s="1507">
        <v>0.76</v>
      </c>
      <c r="F41" s="1507">
        <v>0.83</v>
      </c>
      <c r="G41" s="1507">
        <v>0.86</v>
      </c>
      <c r="H41" s="1507">
        <v>0.79</v>
      </c>
      <c r="I41" s="1507">
        <v>0.77</v>
      </c>
      <c r="J41" s="1507">
        <v>0.83</v>
      </c>
      <c r="K41" s="1507">
        <v>0.93</v>
      </c>
      <c r="L41" s="1507">
        <v>0.91</v>
      </c>
      <c r="M41" s="1507">
        <v>0.88</v>
      </c>
      <c r="N41" s="1507">
        <v>0.84</v>
      </c>
      <c r="O41" s="1507"/>
    </row>
    <row r="43" spans="1:15" x14ac:dyDescent="0.25">
      <c r="A43" s="1511" t="s">
        <v>1594</v>
      </c>
      <c r="B43" s="1512">
        <v>-0.12</v>
      </c>
      <c r="C43" s="1512">
        <v>-0.11</v>
      </c>
      <c r="D43" s="1512">
        <v>-0.06</v>
      </c>
      <c r="E43" s="1512">
        <v>-0.13</v>
      </c>
      <c r="F43" s="1512">
        <v>-0.06</v>
      </c>
      <c r="G43" s="1511"/>
      <c r="H43" s="1511"/>
      <c r="I43" s="1511"/>
      <c r="J43" s="1512">
        <f>+J41-J20</f>
        <v>-3.0000000000000027E-2</v>
      </c>
      <c r="K43" s="1512">
        <f>+K41-K20</f>
        <v>-5.9999999999999942E-2</v>
      </c>
      <c r="L43" s="1512">
        <f>+L41-L20</f>
        <v>-7.999999999999996E-2</v>
      </c>
      <c r="M43" s="1512">
        <f>+M41-M20</f>
        <v>-6.9999999999999951E-2</v>
      </c>
      <c r="N43" s="1512">
        <f>+N41-N20</f>
        <v>-9.9999999999999978E-2</v>
      </c>
    </row>
  </sheetData>
  <mergeCells count="2">
    <mergeCell ref="A2:O2"/>
    <mergeCell ref="A23:O23"/>
  </mergeCells>
  <phoneticPr fontId="15" type="noConversion"/>
  <printOptions verticalCentered="1"/>
  <pageMargins left="1.5" right="1.25" top="2" bottom="2" header="0.5" footer="0.5"/>
  <pageSetup scale="75" orientation="portrait" r:id="rId1"/>
  <headerFooter alignWithMargins="0">
    <oddFooter>&amp;L&amp;7Source: Office of Residence Life</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2"/>
  <sheetViews>
    <sheetView workbookViewId="0">
      <selection sqref="A1:P1"/>
    </sheetView>
  </sheetViews>
  <sheetFormatPr defaultColWidth="6.6640625" defaultRowHeight="13.2" x14ac:dyDescent="0.25"/>
  <cols>
    <col min="1" max="1" width="35.6640625" style="1436" customWidth="1"/>
    <col min="2" max="11" width="9.6640625" style="1434" hidden="1" customWidth="1"/>
    <col min="12" max="13" width="9.6640625" style="1434" customWidth="1"/>
    <col min="14" max="14" width="9.44140625" style="1434" bestFit="1" customWidth="1"/>
    <col min="15" max="20" width="9.6640625" style="1434" customWidth="1"/>
    <col min="21" max="16384" width="6.6640625" style="1434"/>
  </cols>
  <sheetData>
    <row r="1" spans="1:16" ht="30" customHeight="1" x14ac:dyDescent="0.35">
      <c r="A1" s="1791" t="s">
        <v>518</v>
      </c>
      <c r="B1" s="1791"/>
      <c r="C1" s="1791"/>
      <c r="D1" s="1791"/>
      <c r="E1" s="1791"/>
      <c r="F1" s="1791"/>
      <c r="G1" s="1791"/>
      <c r="H1" s="1791"/>
      <c r="I1" s="1791"/>
      <c r="J1" s="1791"/>
      <c r="K1" s="1791"/>
      <c r="L1" s="1791"/>
      <c r="M1" s="1791"/>
      <c r="N1" s="1791"/>
      <c r="O1" s="1791"/>
      <c r="P1" s="1791"/>
    </row>
    <row r="3" spans="1:16" x14ac:dyDescent="0.25">
      <c r="A3" s="1439" t="s">
        <v>519</v>
      </c>
      <c r="B3" s="1440" t="s">
        <v>1297</v>
      </c>
      <c r="C3" s="1440" t="s">
        <v>520</v>
      </c>
      <c r="D3" s="1440" t="s">
        <v>738</v>
      </c>
      <c r="E3" s="1440" t="s">
        <v>596</v>
      </c>
      <c r="F3" s="1440" t="s">
        <v>1306</v>
      </c>
      <c r="G3" s="1440" t="s">
        <v>1052</v>
      </c>
      <c r="H3" s="1440" t="s">
        <v>274</v>
      </c>
      <c r="I3" s="1440" t="s">
        <v>1261</v>
      </c>
      <c r="J3" s="1440" t="s">
        <v>363</v>
      </c>
      <c r="K3" s="1440" t="s">
        <v>583</v>
      </c>
      <c r="L3" s="1440" t="s">
        <v>1363</v>
      </c>
      <c r="M3" s="1440" t="s">
        <v>1388</v>
      </c>
      <c r="N3" s="1440" t="s">
        <v>1389</v>
      </c>
      <c r="O3" s="1440" t="s">
        <v>1377</v>
      </c>
      <c r="P3" s="1440" t="s">
        <v>1503</v>
      </c>
    </row>
    <row r="4" spans="1:16" ht="12.75" customHeight="1" x14ac:dyDescent="0.25">
      <c r="A4" s="1441"/>
      <c r="B4" s="1442"/>
      <c r="C4" s="1442"/>
      <c r="D4" s="1442"/>
      <c r="E4" s="1442"/>
      <c r="F4" s="1442"/>
      <c r="G4" s="1442"/>
      <c r="H4" s="1442"/>
      <c r="I4" s="1442"/>
      <c r="J4" s="1442"/>
      <c r="K4" s="1442"/>
      <c r="L4" s="1442"/>
      <c r="M4" s="1442"/>
      <c r="N4" s="1442"/>
      <c r="O4" s="1442"/>
      <c r="P4" s="1442"/>
    </row>
    <row r="5" spans="1:16" ht="12.75" customHeight="1" x14ac:dyDescent="0.25">
      <c r="A5" s="1443" t="s">
        <v>521</v>
      </c>
      <c r="B5" s="1444"/>
      <c r="C5" s="1444"/>
      <c r="D5" s="1445"/>
      <c r="E5" s="1445"/>
      <c r="F5" s="1445"/>
      <c r="G5" s="1445"/>
      <c r="H5" s="1445"/>
      <c r="I5" s="1445"/>
      <c r="J5" s="1445"/>
      <c r="K5" s="1445"/>
      <c r="L5" s="1445"/>
      <c r="M5" s="1445"/>
      <c r="N5" s="1445"/>
      <c r="O5" s="1445"/>
      <c r="P5" s="1445"/>
    </row>
    <row r="6" spans="1:16" ht="12.75" customHeight="1" x14ac:dyDescent="0.25">
      <c r="A6" s="1443" t="s">
        <v>522</v>
      </c>
      <c r="B6" s="1444">
        <v>5</v>
      </c>
      <c r="C6" s="1444">
        <v>5</v>
      </c>
      <c r="D6" s="1444">
        <v>5</v>
      </c>
      <c r="E6" s="1444">
        <v>5</v>
      </c>
      <c r="F6" s="1444">
        <v>5</v>
      </c>
      <c r="G6" s="1444">
        <v>5</v>
      </c>
      <c r="H6" s="1444">
        <v>5</v>
      </c>
      <c r="I6" s="1444">
        <v>5</v>
      </c>
      <c r="J6" s="1444">
        <v>5</v>
      </c>
      <c r="K6" s="1444">
        <v>5</v>
      </c>
      <c r="L6" s="1444">
        <v>5</v>
      </c>
      <c r="M6" s="1444">
        <v>4</v>
      </c>
      <c r="N6" s="1444">
        <v>4</v>
      </c>
      <c r="O6" s="1444">
        <v>4</v>
      </c>
      <c r="P6" s="1444">
        <v>3</v>
      </c>
    </row>
    <row r="7" spans="1:16" ht="12.75" customHeight="1" x14ac:dyDescent="0.25">
      <c r="A7" s="1443" t="s">
        <v>523</v>
      </c>
      <c r="B7" s="1444">
        <v>5</v>
      </c>
      <c r="C7" s="1444">
        <v>5</v>
      </c>
      <c r="D7" s="1445">
        <v>5</v>
      </c>
      <c r="E7" s="1445">
        <v>5</v>
      </c>
      <c r="F7" s="1445">
        <v>5</v>
      </c>
      <c r="G7" s="1445">
        <v>5</v>
      </c>
      <c r="H7" s="1445">
        <v>5</v>
      </c>
      <c r="I7" s="1445">
        <v>5</v>
      </c>
      <c r="J7" s="1445">
        <v>5</v>
      </c>
      <c r="K7" s="1445">
        <v>5</v>
      </c>
      <c r="L7" s="1445">
        <v>5</v>
      </c>
      <c r="M7" s="1445">
        <v>4</v>
      </c>
      <c r="N7" s="1445">
        <v>3</v>
      </c>
      <c r="O7" s="1445">
        <v>3</v>
      </c>
      <c r="P7" s="1445">
        <v>3</v>
      </c>
    </row>
    <row r="8" spans="1:16" ht="12.75" customHeight="1" x14ac:dyDescent="0.25">
      <c r="A8" s="1441"/>
      <c r="B8" s="1442"/>
      <c r="C8" s="1442"/>
      <c r="D8" s="1442"/>
      <c r="E8" s="1442"/>
      <c r="F8" s="1442"/>
      <c r="G8" s="1442"/>
      <c r="H8" s="1442"/>
      <c r="I8" s="1442"/>
      <c r="J8" s="1442"/>
      <c r="K8" s="1442"/>
      <c r="L8" s="1442"/>
      <c r="M8" s="1442"/>
      <c r="N8" s="1442"/>
      <c r="O8" s="1442"/>
      <c r="P8" s="1442"/>
    </row>
    <row r="9" spans="1:16" ht="12.75" customHeight="1" x14ac:dyDescent="0.25">
      <c r="A9" s="1446" t="s">
        <v>1146</v>
      </c>
      <c r="B9" s="1447"/>
      <c r="C9" s="1447"/>
      <c r="D9" s="1447"/>
      <c r="E9" s="1447"/>
      <c r="F9" s="1447"/>
      <c r="G9" s="1447"/>
      <c r="H9" s="1447"/>
      <c r="I9" s="1447"/>
      <c r="J9" s="1447"/>
      <c r="K9" s="1447"/>
      <c r="L9" s="1447"/>
      <c r="M9" s="1447"/>
      <c r="N9" s="1447"/>
      <c r="O9" s="1447"/>
      <c r="P9" s="1447"/>
    </row>
    <row r="10" spans="1:16" ht="12.75" customHeight="1" x14ac:dyDescent="0.25">
      <c r="A10" s="1446" t="s">
        <v>128</v>
      </c>
      <c r="B10" s="1447"/>
      <c r="C10" s="1447"/>
      <c r="D10" s="1447"/>
      <c r="E10" s="1447"/>
      <c r="F10" s="1448">
        <v>7722</v>
      </c>
      <c r="G10" s="1448">
        <v>16437</v>
      </c>
      <c r="H10" s="1448">
        <v>26211</v>
      </c>
      <c r="I10" s="1448">
        <v>59437</v>
      </c>
      <c r="J10" s="1448">
        <v>73598</v>
      </c>
      <c r="K10" s="1448">
        <v>80052</v>
      </c>
      <c r="L10" s="1449">
        <v>63589</v>
      </c>
      <c r="M10" s="1449">
        <v>99029</v>
      </c>
      <c r="N10" s="1449">
        <v>164056</v>
      </c>
      <c r="O10" s="1449">
        <v>233908</v>
      </c>
      <c r="P10" s="1449">
        <v>370637</v>
      </c>
    </row>
    <row r="11" spans="1:16" ht="12.75" customHeight="1" x14ac:dyDescent="0.25">
      <c r="A11" s="1446" t="s">
        <v>1564</v>
      </c>
      <c r="B11" s="1447"/>
      <c r="C11" s="1447"/>
      <c r="D11" s="1447"/>
      <c r="E11" s="1448">
        <v>75244</v>
      </c>
      <c r="F11" s="1448">
        <v>93869</v>
      </c>
      <c r="G11" s="1448">
        <v>107722</v>
      </c>
      <c r="H11" s="1448">
        <v>124933</v>
      </c>
      <c r="I11" s="1448">
        <v>406654</v>
      </c>
      <c r="J11" s="1448">
        <v>154017</v>
      </c>
      <c r="K11" s="1448">
        <v>100185</v>
      </c>
      <c r="L11" s="1449">
        <v>29657</v>
      </c>
      <c r="M11" s="1449">
        <v>32723</v>
      </c>
      <c r="N11" s="1450" t="s">
        <v>1045</v>
      </c>
      <c r="O11" s="1450">
        <v>17382</v>
      </c>
      <c r="P11" s="1450">
        <v>8927</v>
      </c>
    </row>
    <row r="12" spans="1:16" ht="12.75" customHeight="1" x14ac:dyDescent="0.25">
      <c r="A12" s="1446" t="s">
        <v>129</v>
      </c>
      <c r="B12" s="1447"/>
      <c r="C12" s="1447"/>
      <c r="D12" s="1447"/>
      <c r="E12" s="1447"/>
      <c r="F12" s="1448"/>
      <c r="G12" s="1448">
        <v>2473</v>
      </c>
      <c r="H12" s="1448">
        <v>7994</v>
      </c>
      <c r="I12" s="1448">
        <v>4101</v>
      </c>
      <c r="J12" s="1448">
        <v>3470</v>
      </c>
      <c r="K12" s="1448">
        <v>5305</v>
      </c>
      <c r="L12" s="1450" t="s">
        <v>1045</v>
      </c>
      <c r="M12" s="1450" t="s">
        <v>1045</v>
      </c>
      <c r="N12" s="1450" t="s">
        <v>1045</v>
      </c>
      <c r="O12" s="1450">
        <v>1684</v>
      </c>
      <c r="P12" s="1450">
        <v>1643</v>
      </c>
    </row>
    <row r="13" spans="1:16" ht="12.75" hidden="1" customHeight="1" x14ac:dyDescent="0.25">
      <c r="A13" s="1446" t="s">
        <v>130</v>
      </c>
      <c r="B13" s="1447"/>
      <c r="C13" s="1447"/>
      <c r="D13" s="1447"/>
      <c r="E13" s="1448">
        <v>5229</v>
      </c>
      <c r="F13" s="1448">
        <v>7419</v>
      </c>
      <c r="G13" s="1448">
        <v>8912</v>
      </c>
      <c r="H13" s="1448">
        <v>9403</v>
      </c>
      <c r="I13" s="1448">
        <v>6807</v>
      </c>
      <c r="J13" s="1448">
        <v>7136</v>
      </c>
      <c r="K13" s="1448">
        <v>5724</v>
      </c>
      <c r="L13" s="1450" t="s">
        <v>1045</v>
      </c>
      <c r="M13" s="1450" t="s">
        <v>1045</v>
      </c>
      <c r="N13" s="1450" t="s">
        <v>1045</v>
      </c>
      <c r="O13" s="1450" t="s">
        <v>1045</v>
      </c>
      <c r="P13" s="1450" t="s">
        <v>1045</v>
      </c>
    </row>
    <row r="14" spans="1:16" ht="12.75" customHeight="1" x14ac:dyDescent="0.25">
      <c r="A14" s="1446" t="s">
        <v>131</v>
      </c>
      <c r="B14" s="1447"/>
      <c r="C14" s="1447"/>
      <c r="D14" s="1447"/>
      <c r="E14" s="1448">
        <v>35216</v>
      </c>
      <c r="F14" s="1448">
        <v>48787</v>
      </c>
      <c r="G14" s="1435">
        <v>77569</v>
      </c>
      <c r="H14" s="1448">
        <v>79021</v>
      </c>
      <c r="I14" s="1448">
        <v>81339</v>
      </c>
      <c r="J14" s="1448">
        <v>54669</v>
      </c>
      <c r="K14" s="1448">
        <v>55112</v>
      </c>
      <c r="L14" s="1449">
        <v>23015</v>
      </c>
      <c r="M14" s="1449">
        <v>155117</v>
      </c>
      <c r="N14" s="1449">
        <v>121776</v>
      </c>
      <c r="O14" s="1449">
        <v>200609</v>
      </c>
      <c r="P14" s="1449">
        <v>93848</v>
      </c>
    </row>
    <row r="15" spans="1:16" ht="12.75" customHeight="1" x14ac:dyDescent="0.25">
      <c r="A15" s="1446" t="s">
        <v>780</v>
      </c>
      <c r="B15" s="1447"/>
      <c r="C15" s="1447"/>
      <c r="D15" s="1447"/>
      <c r="E15" s="1448">
        <v>115689</v>
      </c>
      <c r="F15" s="1448">
        <f>+F10+F11+F13+F14</f>
        <v>157797</v>
      </c>
      <c r="G15" s="1448">
        <f>+G10+G11+G12+G13+G14</f>
        <v>213113</v>
      </c>
      <c r="H15" s="1448">
        <f>+H10+H11+H12+H13+H14</f>
        <v>247562</v>
      </c>
      <c r="I15" s="1451" t="s">
        <v>132</v>
      </c>
      <c r="J15" s="1448">
        <f t="shared" ref="J15:K15" si="0">+J10+J11+J12+J13+J14</f>
        <v>292890</v>
      </c>
      <c r="K15" s="1448">
        <f t="shared" si="0"/>
        <v>246378</v>
      </c>
      <c r="L15" s="1449">
        <f>+L10+L11+N14</f>
        <v>215022</v>
      </c>
      <c r="M15" s="1449">
        <f>+M10+M11+O14</f>
        <v>332361</v>
      </c>
      <c r="N15" s="1449">
        <f>+N10+N14</f>
        <v>285832</v>
      </c>
      <c r="O15" s="1449">
        <f>+O10+O11+O12+O14</f>
        <v>453583</v>
      </c>
      <c r="P15" s="1449">
        <f>+P10+P11+P12+P14</f>
        <v>475055</v>
      </c>
    </row>
    <row r="16" spans="1:16" ht="12.75" hidden="1" customHeight="1" x14ac:dyDescent="0.25">
      <c r="A16" s="1446"/>
      <c r="B16" s="1447"/>
      <c r="C16" s="1447"/>
      <c r="D16" s="1447"/>
      <c r="E16" s="1447"/>
      <c r="F16" s="1447"/>
      <c r="G16" s="1447"/>
      <c r="H16" s="1447"/>
      <c r="I16" s="1447"/>
      <c r="J16" s="1447"/>
      <c r="K16" s="1447"/>
      <c r="L16" s="1452"/>
      <c r="M16" s="1452"/>
      <c r="N16" s="1452"/>
      <c r="O16" s="1452"/>
      <c r="P16" s="1452"/>
    </row>
    <row r="17" spans="1:16" ht="12.75" hidden="1" customHeight="1" x14ac:dyDescent="0.25">
      <c r="A17" s="1446"/>
      <c r="B17" s="1447"/>
      <c r="C17" s="1447"/>
      <c r="D17" s="1447"/>
      <c r="E17" s="1447"/>
      <c r="F17" s="1447"/>
      <c r="G17" s="1447"/>
      <c r="H17" s="1447"/>
      <c r="I17" s="1447"/>
      <c r="J17" s="1447"/>
      <c r="K17" s="1447"/>
      <c r="L17" s="1452"/>
      <c r="M17" s="1452"/>
      <c r="N17" s="1452"/>
      <c r="O17" s="1452"/>
      <c r="P17" s="1452"/>
    </row>
    <row r="18" spans="1:16" ht="12.75" customHeight="1" x14ac:dyDescent="0.25">
      <c r="A18" s="1441"/>
      <c r="B18" s="1442"/>
      <c r="C18" s="1442"/>
      <c r="D18" s="1442"/>
      <c r="E18" s="1442"/>
      <c r="F18" s="1442"/>
      <c r="G18" s="1442"/>
      <c r="H18" s="1442"/>
      <c r="I18" s="1442"/>
      <c r="J18" s="1442"/>
      <c r="K18" s="1442"/>
      <c r="L18" s="1453"/>
      <c r="M18" s="1453"/>
      <c r="N18" s="1453"/>
      <c r="O18" s="1453"/>
      <c r="P18" s="1453"/>
    </row>
    <row r="19" spans="1:16" ht="12.75" customHeight="1" x14ac:dyDescent="0.25">
      <c r="A19" s="1443" t="s">
        <v>524</v>
      </c>
      <c r="B19" s="1444"/>
      <c r="C19" s="1444"/>
      <c r="D19" s="1444"/>
      <c r="E19" s="1444"/>
      <c r="F19" s="1444"/>
      <c r="G19" s="1444"/>
      <c r="H19" s="1444"/>
      <c r="I19" s="1444"/>
      <c r="J19" s="1444"/>
      <c r="K19" s="1444"/>
      <c r="L19" s="1454"/>
      <c r="M19" s="1454"/>
      <c r="N19" s="1454"/>
      <c r="O19" s="1454"/>
      <c r="P19" s="1454"/>
    </row>
    <row r="20" spans="1:16" ht="12.75" customHeight="1" x14ac:dyDescent="0.25">
      <c r="A20" s="1443" t="s">
        <v>525</v>
      </c>
      <c r="B20" s="1455">
        <v>22599</v>
      </c>
      <c r="C20" s="1455">
        <v>16806</v>
      </c>
      <c r="D20" s="1455">
        <v>11559</v>
      </c>
      <c r="E20" s="1455">
        <v>10425</v>
      </c>
      <c r="F20" s="1455">
        <v>9253</v>
      </c>
      <c r="G20" s="1455">
        <v>9218</v>
      </c>
      <c r="H20" s="1455">
        <v>9828</v>
      </c>
      <c r="I20" s="1455">
        <v>10855</v>
      </c>
      <c r="J20" s="1455">
        <v>10075</v>
      </c>
      <c r="K20" s="1455">
        <v>10879</v>
      </c>
      <c r="L20" s="1456" t="s">
        <v>1045</v>
      </c>
      <c r="M20" s="1457">
        <f>5401+42</f>
        <v>5443</v>
      </c>
      <c r="N20" s="1457">
        <f>6241+128</f>
        <v>6369</v>
      </c>
      <c r="O20" s="1457">
        <f>6337+199</f>
        <v>6536</v>
      </c>
      <c r="P20" s="1457">
        <v>6430</v>
      </c>
    </row>
    <row r="21" spans="1:16" ht="12.75" customHeight="1" x14ac:dyDescent="0.25">
      <c r="A21" s="1443" t="s">
        <v>526</v>
      </c>
      <c r="B21" s="1455">
        <v>1348</v>
      </c>
      <c r="C21" s="1455">
        <v>1371</v>
      </c>
      <c r="D21" s="1455">
        <v>1102</v>
      </c>
      <c r="E21" s="1455">
        <v>950</v>
      </c>
      <c r="F21" s="1455">
        <v>1088</v>
      </c>
      <c r="G21" s="1455">
        <v>1130</v>
      </c>
      <c r="H21" s="1455">
        <v>1139</v>
      </c>
      <c r="I21" s="1455">
        <v>1099</v>
      </c>
      <c r="J21" s="1455">
        <v>1159</v>
      </c>
      <c r="K21" s="1455">
        <v>1237</v>
      </c>
      <c r="L21" s="1456" t="s">
        <v>1045</v>
      </c>
      <c r="M21" s="1457">
        <v>1094</v>
      </c>
      <c r="N21" s="1457">
        <v>1394</v>
      </c>
      <c r="O21" s="1457">
        <v>1270</v>
      </c>
      <c r="P21" s="1457">
        <v>1457</v>
      </c>
    </row>
    <row r="22" spans="1:16" ht="12.75" customHeight="1" x14ac:dyDescent="0.25">
      <c r="A22" s="1443" t="s">
        <v>527</v>
      </c>
      <c r="B22" s="1455">
        <v>1891</v>
      </c>
      <c r="C22" s="1455">
        <v>1534</v>
      </c>
      <c r="D22" s="1455">
        <v>1517</v>
      </c>
      <c r="E22" s="1455">
        <v>1437</v>
      </c>
      <c r="F22" s="1455">
        <v>1713</v>
      </c>
      <c r="G22" s="1455">
        <v>1305</v>
      </c>
      <c r="H22" s="1455">
        <v>1556</v>
      </c>
      <c r="I22" s="1455">
        <v>1309</v>
      </c>
      <c r="J22" s="1455">
        <v>1286</v>
      </c>
      <c r="K22" s="1455">
        <v>1856</v>
      </c>
      <c r="L22" s="1456" t="s">
        <v>1045</v>
      </c>
      <c r="M22" s="1457">
        <v>83</v>
      </c>
      <c r="N22" s="1457">
        <v>230</v>
      </c>
      <c r="O22" s="1457">
        <v>238</v>
      </c>
      <c r="P22" s="1457">
        <v>208</v>
      </c>
    </row>
    <row r="23" spans="1:16" ht="12.75" customHeight="1" x14ac:dyDescent="0.25">
      <c r="A23" s="1443" t="s">
        <v>528</v>
      </c>
      <c r="B23" s="1455">
        <v>1621</v>
      </c>
      <c r="C23" s="1455">
        <v>1516</v>
      </c>
      <c r="D23" s="1455">
        <v>1252</v>
      </c>
      <c r="E23" s="1455">
        <v>1143</v>
      </c>
      <c r="F23" s="1455">
        <v>1131</v>
      </c>
      <c r="G23" s="1455">
        <v>1280</v>
      </c>
      <c r="H23" s="1455">
        <v>1028</v>
      </c>
      <c r="I23" s="1455">
        <v>1200</v>
      </c>
      <c r="J23" s="1455">
        <v>1307</v>
      </c>
      <c r="K23" s="1455">
        <v>2019</v>
      </c>
      <c r="L23" s="1457">
        <f>248+191</f>
        <v>439</v>
      </c>
      <c r="M23" s="1457">
        <f>176+4+78+106</f>
        <v>364</v>
      </c>
      <c r="N23" s="1457">
        <f>223+1+67+128</f>
        <v>419</v>
      </c>
      <c r="O23" s="1457">
        <f>171+80+278</f>
        <v>529</v>
      </c>
      <c r="P23" s="1457">
        <v>614</v>
      </c>
    </row>
    <row r="24" spans="1:16" ht="12.75" customHeight="1" x14ac:dyDescent="0.25">
      <c r="A24" s="1443" t="s">
        <v>1565</v>
      </c>
      <c r="B24" s="1455"/>
      <c r="C24" s="1455"/>
      <c r="D24" s="1455"/>
      <c r="E24" s="1455"/>
      <c r="F24" s="1455"/>
      <c r="G24" s="1455"/>
      <c r="H24" s="1455"/>
      <c r="I24" s="1455"/>
      <c r="J24" s="1455"/>
      <c r="K24" s="1458" t="s">
        <v>1045</v>
      </c>
      <c r="L24" s="1456" t="s">
        <v>1045</v>
      </c>
      <c r="M24" s="1457">
        <v>548</v>
      </c>
      <c r="N24" s="1457">
        <v>556</v>
      </c>
      <c r="O24" s="1457">
        <v>516</v>
      </c>
      <c r="P24" s="1457">
        <v>497</v>
      </c>
    </row>
    <row r="25" spans="1:16" ht="12.75" customHeight="1" x14ac:dyDescent="0.25">
      <c r="A25" s="1443" t="s">
        <v>1566</v>
      </c>
      <c r="B25" s="1455"/>
      <c r="C25" s="1455"/>
      <c r="D25" s="1455"/>
      <c r="E25" s="1455"/>
      <c r="F25" s="1455"/>
      <c r="G25" s="1455"/>
      <c r="H25" s="1455"/>
      <c r="I25" s="1455"/>
      <c r="J25" s="1455"/>
      <c r="K25" s="1458" t="s">
        <v>1045</v>
      </c>
      <c r="L25" s="1456" t="s">
        <v>1045</v>
      </c>
      <c r="M25" s="1457">
        <v>668</v>
      </c>
      <c r="N25" s="1457">
        <v>625</v>
      </c>
      <c r="O25" s="1457">
        <v>526</v>
      </c>
      <c r="P25" s="1457">
        <v>663</v>
      </c>
    </row>
    <row r="26" spans="1:16" ht="12.75" customHeight="1" x14ac:dyDescent="0.25">
      <c r="A26" s="1443" t="s">
        <v>1567</v>
      </c>
      <c r="B26" s="1455"/>
      <c r="C26" s="1455"/>
      <c r="D26" s="1455"/>
      <c r="E26" s="1455"/>
      <c r="F26" s="1455"/>
      <c r="G26" s="1455"/>
      <c r="H26" s="1455"/>
      <c r="I26" s="1455"/>
      <c r="J26" s="1455"/>
      <c r="K26" s="1458" t="s">
        <v>1045</v>
      </c>
      <c r="L26" s="1456" t="s">
        <v>1045</v>
      </c>
      <c r="M26" s="1459">
        <f>M24/M25</f>
        <v>0.82035928143712578</v>
      </c>
      <c r="N26" s="1459">
        <f t="shared" ref="N26:O26" si="1">N24/N25</f>
        <v>0.88959999999999995</v>
      </c>
      <c r="O26" s="1459">
        <f t="shared" si="1"/>
        <v>0.98098859315589348</v>
      </c>
      <c r="P26" s="1459">
        <f>0.75</f>
        <v>0.75</v>
      </c>
    </row>
    <row r="27" spans="1:16" ht="12.75" customHeight="1" x14ac:dyDescent="0.25">
      <c r="A27" s="1443" t="s">
        <v>529</v>
      </c>
      <c r="B27" s="1455">
        <v>5226</v>
      </c>
      <c r="C27" s="1455">
        <v>3735</v>
      </c>
      <c r="D27" s="1455">
        <v>2487</v>
      </c>
      <c r="E27" s="1455">
        <v>1951</v>
      </c>
      <c r="F27" s="1455">
        <v>1459</v>
      </c>
      <c r="G27" s="1455">
        <v>2855</v>
      </c>
      <c r="H27" s="1455">
        <v>4848</v>
      </c>
      <c r="I27" s="1455">
        <v>6082</v>
      </c>
      <c r="J27" s="1455">
        <v>5675</v>
      </c>
      <c r="K27" s="1455">
        <v>6485</v>
      </c>
      <c r="L27" s="1457" t="s">
        <v>1568</v>
      </c>
      <c r="M27" s="1457">
        <v>1835</v>
      </c>
      <c r="N27" s="1457">
        <v>2248</v>
      </c>
      <c r="O27" s="1457">
        <v>2284</v>
      </c>
      <c r="P27" s="1457">
        <v>1961</v>
      </c>
    </row>
    <row r="28" spans="1:16" ht="12.75" customHeight="1" x14ac:dyDescent="0.25">
      <c r="A28" s="1443" t="s">
        <v>530</v>
      </c>
      <c r="B28" s="1455">
        <f t="shared" ref="B28:K28" si="2">SUM(B20:B27)</f>
        <v>32685</v>
      </c>
      <c r="C28" s="1455">
        <f t="shared" si="2"/>
        <v>24962</v>
      </c>
      <c r="D28" s="1455">
        <f t="shared" si="2"/>
        <v>17917</v>
      </c>
      <c r="E28" s="1455">
        <f t="shared" si="2"/>
        <v>15906</v>
      </c>
      <c r="F28" s="1455">
        <f t="shared" si="2"/>
        <v>14644</v>
      </c>
      <c r="G28" s="1455">
        <f t="shared" si="2"/>
        <v>15788</v>
      </c>
      <c r="H28" s="1455">
        <f t="shared" si="2"/>
        <v>18399</v>
      </c>
      <c r="I28" s="1455">
        <f t="shared" si="2"/>
        <v>20545</v>
      </c>
      <c r="J28" s="1455">
        <f t="shared" si="2"/>
        <v>19502</v>
      </c>
      <c r="K28" s="1455">
        <f t="shared" si="2"/>
        <v>22476</v>
      </c>
      <c r="L28" s="1457">
        <f t="shared" ref="L28" si="3">SUM(L20:L27)</f>
        <v>439</v>
      </c>
      <c r="M28" s="1457">
        <f>+M20+M21+M22+M23+M24+M25+M27</f>
        <v>10035</v>
      </c>
      <c r="N28" s="1457">
        <f>+N20+N21+N22+N23+N24+N25+N27</f>
        <v>11841</v>
      </c>
      <c r="O28" s="1457">
        <f>+O20+O21+O22+O23+O24+O25+O27</f>
        <v>11899</v>
      </c>
      <c r="P28" s="1457">
        <f>+P20+P21+P22+P23+P24+P25+P27</f>
        <v>11830</v>
      </c>
    </row>
    <row r="29" spans="1:16" ht="12.75" customHeight="1" x14ac:dyDescent="0.25">
      <c r="A29" s="1443" t="s">
        <v>531</v>
      </c>
      <c r="B29" s="1460">
        <f t="shared" ref="B29:K29" si="4">B28/B48</f>
        <v>14.676695105523125</v>
      </c>
      <c r="C29" s="1460">
        <f t="shared" si="4"/>
        <v>11.487344684767603</v>
      </c>
      <c r="D29" s="1460">
        <f t="shared" si="4"/>
        <v>8.1035730438715508</v>
      </c>
      <c r="E29" s="1460">
        <f t="shared" si="4"/>
        <v>7.1455525606468999</v>
      </c>
      <c r="F29" s="1460">
        <f t="shared" si="4"/>
        <v>6.0462427745664744</v>
      </c>
      <c r="G29" s="1460">
        <f t="shared" si="4"/>
        <v>6.4309572301425666</v>
      </c>
      <c r="H29" s="1460">
        <f t="shared" si="4"/>
        <v>7.2896196513470679</v>
      </c>
      <c r="I29" s="1460">
        <f t="shared" si="4"/>
        <v>8.4616968698517301</v>
      </c>
      <c r="J29" s="1460">
        <f t="shared" si="4"/>
        <v>8.1224489795918373</v>
      </c>
      <c r="K29" s="1460">
        <f t="shared" si="4"/>
        <v>10.329044117647058</v>
      </c>
      <c r="L29" s="1461" t="s">
        <v>1045</v>
      </c>
      <c r="M29" s="1462">
        <f>M28/M48</f>
        <v>3.7925170068027212</v>
      </c>
      <c r="N29" s="1462">
        <f>N28/N48</f>
        <v>4.1591148577449948</v>
      </c>
      <c r="O29" s="1462">
        <f t="shared" ref="O29" si="5">O28/O48</f>
        <v>4.1868402533427167</v>
      </c>
      <c r="P29" s="1462">
        <f>P20/P48</f>
        <v>2.2817601135557131</v>
      </c>
    </row>
    <row r="30" spans="1:16" ht="12.75" hidden="1" customHeight="1" x14ac:dyDescent="0.25">
      <c r="A30" s="1441"/>
      <c r="B30" s="1442"/>
      <c r="C30" s="1442"/>
      <c r="D30" s="1442"/>
      <c r="E30" s="1442"/>
      <c r="F30" s="1442"/>
      <c r="G30" s="1442"/>
      <c r="H30" s="1442"/>
      <c r="I30" s="1442"/>
      <c r="J30" s="1442"/>
      <c r="K30" s="1442"/>
      <c r="L30" s="1453"/>
      <c r="M30" s="1453"/>
      <c r="N30" s="1453"/>
      <c r="O30" s="1453"/>
      <c r="P30" s="1453"/>
    </row>
    <row r="31" spans="1:16" ht="12.75" hidden="1" customHeight="1" x14ac:dyDescent="0.25">
      <c r="A31" s="1443" t="s">
        <v>532</v>
      </c>
      <c r="B31" s="1444"/>
      <c r="C31" s="1444"/>
      <c r="D31" s="1444"/>
      <c r="E31" s="1444"/>
      <c r="F31" s="1444"/>
      <c r="G31" s="1444"/>
      <c r="H31" s="1444"/>
      <c r="I31" s="1444"/>
      <c r="J31" s="1444"/>
      <c r="K31" s="1444"/>
      <c r="L31" s="1454"/>
      <c r="M31" s="1454"/>
      <c r="N31" s="1454"/>
      <c r="O31" s="1454"/>
      <c r="P31" s="1454"/>
    </row>
    <row r="32" spans="1:16" ht="12.75" hidden="1" customHeight="1" x14ac:dyDescent="0.25">
      <c r="A32" s="1443" t="s">
        <v>533</v>
      </c>
      <c r="B32" s="1455">
        <v>148341</v>
      </c>
      <c r="C32" s="1455">
        <v>150190</v>
      </c>
      <c r="D32" s="1455">
        <v>161324</v>
      </c>
      <c r="E32" s="1455">
        <v>163514</v>
      </c>
      <c r="F32" s="1455">
        <v>166177</v>
      </c>
      <c r="G32" s="1455">
        <v>168498</v>
      </c>
      <c r="H32" s="1455">
        <v>170529</v>
      </c>
      <c r="I32" s="1455">
        <v>173056</v>
      </c>
      <c r="J32" s="1455">
        <v>174624</v>
      </c>
      <c r="K32" s="1455">
        <v>177401</v>
      </c>
      <c r="L32" s="1457"/>
      <c r="M32" s="1457"/>
      <c r="N32" s="1457"/>
      <c r="O32" s="1457"/>
      <c r="P32" s="1457"/>
    </row>
    <row r="33" spans="1:16" ht="12.75" hidden="1" customHeight="1" x14ac:dyDescent="0.25">
      <c r="A33" s="1443" t="s">
        <v>534</v>
      </c>
      <c r="B33" s="1455">
        <v>10482</v>
      </c>
      <c r="C33" s="1455">
        <v>11007</v>
      </c>
      <c r="D33" s="1455">
        <v>11979</v>
      </c>
      <c r="E33" s="1455">
        <v>12296</v>
      </c>
      <c r="F33" s="1455">
        <v>12741</v>
      </c>
      <c r="G33" s="1455">
        <v>13028</v>
      </c>
      <c r="H33" s="1455">
        <v>13369</v>
      </c>
      <c r="I33" s="1455">
        <v>13634</v>
      </c>
      <c r="J33" s="1455">
        <v>14072</v>
      </c>
      <c r="K33" s="1455">
        <v>14372</v>
      </c>
      <c r="L33" s="1457"/>
      <c r="M33" s="1457"/>
      <c r="N33" s="1457"/>
      <c r="O33" s="1457"/>
      <c r="P33" s="1457"/>
    </row>
    <row r="34" spans="1:16" ht="12.75" hidden="1" customHeight="1" x14ac:dyDescent="0.25">
      <c r="A34" s="1443" t="s">
        <v>535</v>
      </c>
      <c r="B34" s="1455">
        <v>105914</v>
      </c>
      <c r="C34" s="1455">
        <v>109873</v>
      </c>
      <c r="D34" s="1455">
        <v>145712</v>
      </c>
      <c r="E34" s="1455">
        <v>149680</v>
      </c>
      <c r="F34" s="1455">
        <v>152509</v>
      </c>
      <c r="G34" s="1455">
        <v>154617</v>
      </c>
      <c r="H34" s="1455">
        <v>155057</v>
      </c>
      <c r="I34" s="1455">
        <v>156387</v>
      </c>
      <c r="J34" s="1455">
        <v>157707</v>
      </c>
      <c r="K34" s="1455">
        <v>156493</v>
      </c>
      <c r="L34" s="1457"/>
      <c r="M34" s="1457"/>
      <c r="N34" s="1457"/>
      <c r="O34" s="1457"/>
      <c r="P34" s="1457"/>
    </row>
    <row r="35" spans="1:16" ht="12.75" hidden="1" customHeight="1" x14ac:dyDescent="0.25">
      <c r="A35" s="1443" t="s">
        <v>536</v>
      </c>
      <c r="B35" s="1455">
        <v>102</v>
      </c>
      <c r="C35" s="1444">
        <v>102</v>
      </c>
      <c r="D35" s="1444">
        <v>148</v>
      </c>
      <c r="E35" s="1444">
        <v>148</v>
      </c>
      <c r="F35" s="1444">
        <v>157</v>
      </c>
      <c r="G35" s="1444">
        <v>157</v>
      </c>
      <c r="H35" s="1444">
        <v>161</v>
      </c>
      <c r="I35" s="1444">
        <v>168</v>
      </c>
      <c r="J35" s="1444">
        <v>168</v>
      </c>
      <c r="K35" s="1444">
        <v>168</v>
      </c>
      <c r="L35" s="1454"/>
      <c r="M35" s="1454"/>
      <c r="N35" s="1454"/>
      <c r="O35" s="1454"/>
      <c r="P35" s="1454"/>
    </row>
    <row r="36" spans="1:16" ht="12.75" hidden="1" customHeight="1" x14ac:dyDescent="0.25">
      <c r="A36" s="1443" t="s">
        <v>537</v>
      </c>
      <c r="B36" s="1455">
        <v>552</v>
      </c>
      <c r="C36" s="1444">
        <v>648</v>
      </c>
      <c r="D36" s="1455">
        <v>1140</v>
      </c>
      <c r="E36" s="1455">
        <v>1257</v>
      </c>
      <c r="F36" s="1455">
        <v>1479</v>
      </c>
      <c r="G36" s="1455">
        <v>1675</v>
      </c>
      <c r="H36" s="1455">
        <v>848</v>
      </c>
      <c r="I36" s="1455">
        <v>979</v>
      </c>
      <c r="J36" s="1455">
        <v>2215</v>
      </c>
      <c r="K36" s="1455">
        <v>1169</v>
      </c>
      <c r="L36" s="1457"/>
      <c r="M36" s="1457"/>
      <c r="N36" s="1457"/>
      <c r="O36" s="1457"/>
      <c r="P36" s="1457"/>
    </row>
    <row r="37" spans="1:16" ht="12.75" hidden="1" customHeight="1" x14ac:dyDescent="0.25">
      <c r="A37" s="1443" t="s">
        <v>538</v>
      </c>
      <c r="B37" s="1457">
        <v>2133</v>
      </c>
      <c r="C37" s="1455">
        <v>2188</v>
      </c>
      <c r="D37" s="1455">
        <v>2208</v>
      </c>
      <c r="E37" s="1455">
        <v>2240</v>
      </c>
      <c r="F37" s="1455">
        <v>2346</v>
      </c>
      <c r="G37" s="1455">
        <v>2401</v>
      </c>
      <c r="H37" s="1455">
        <v>3405</v>
      </c>
      <c r="I37" s="1455">
        <v>3564</v>
      </c>
      <c r="J37" s="1455">
        <v>2592</v>
      </c>
      <c r="K37" s="1455">
        <v>3995</v>
      </c>
      <c r="L37" s="1457"/>
      <c r="M37" s="1457"/>
      <c r="N37" s="1457"/>
      <c r="O37" s="1457"/>
      <c r="P37" s="1457"/>
    </row>
    <row r="38" spans="1:16" ht="12.75" hidden="1" customHeight="1" x14ac:dyDescent="0.25">
      <c r="A38" s="1443" t="s">
        <v>54</v>
      </c>
      <c r="B38" s="1457"/>
      <c r="C38" s="1455"/>
      <c r="D38" s="1455" t="s">
        <v>1045</v>
      </c>
      <c r="E38" s="1455" t="s">
        <v>1045</v>
      </c>
      <c r="F38" s="1455">
        <v>80</v>
      </c>
      <c r="G38" s="1455">
        <v>88</v>
      </c>
      <c r="H38" s="1455">
        <v>89</v>
      </c>
      <c r="I38" s="1455">
        <v>91</v>
      </c>
      <c r="J38" s="1455">
        <v>91</v>
      </c>
      <c r="K38" s="1455">
        <v>91</v>
      </c>
      <c r="L38" s="1457"/>
      <c r="M38" s="1457"/>
      <c r="N38" s="1457"/>
      <c r="O38" s="1457"/>
      <c r="P38" s="1457"/>
    </row>
    <row r="39" spans="1:16" ht="12.75" hidden="1" customHeight="1" x14ac:dyDescent="0.25">
      <c r="A39" s="1443" t="s">
        <v>55</v>
      </c>
      <c r="B39" s="1457"/>
      <c r="C39" s="1455"/>
      <c r="D39" s="1455" t="s">
        <v>1045</v>
      </c>
      <c r="E39" s="1455" t="s">
        <v>1045</v>
      </c>
      <c r="F39" s="1455">
        <v>17039</v>
      </c>
      <c r="G39" s="1455">
        <v>25450</v>
      </c>
      <c r="H39" s="1455">
        <v>29832</v>
      </c>
      <c r="I39" s="1455">
        <v>35010</v>
      </c>
      <c r="J39" s="1455">
        <v>37933</v>
      </c>
      <c r="K39" s="1455">
        <v>42066</v>
      </c>
      <c r="L39" s="1457"/>
      <c r="M39" s="1457"/>
      <c r="N39" s="1457"/>
      <c r="O39" s="1457"/>
      <c r="P39" s="1457"/>
    </row>
    <row r="40" spans="1:16" ht="12.75" hidden="1" customHeight="1" x14ac:dyDescent="0.25">
      <c r="A40" s="1443" t="s">
        <v>545</v>
      </c>
      <c r="B40" s="1455">
        <f>SUM(B32:B37)</f>
        <v>267524</v>
      </c>
      <c r="C40" s="1455">
        <f>SUM(C32:C37)</f>
        <v>274008</v>
      </c>
      <c r="D40" s="1455">
        <f t="shared" ref="D40:P40" si="6">SUM(D32:D39)</f>
        <v>322511</v>
      </c>
      <c r="E40" s="1455">
        <f t="shared" si="6"/>
        <v>329135</v>
      </c>
      <c r="F40" s="1455">
        <f t="shared" si="6"/>
        <v>352528</v>
      </c>
      <c r="G40" s="1455">
        <f t="shared" si="6"/>
        <v>365914</v>
      </c>
      <c r="H40" s="1455">
        <f t="shared" si="6"/>
        <v>373290</v>
      </c>
      <c r="I40" s="1455">
        <f t="shared" si="6"/>
        <v>382889</v>
      </c>
      <c r="J40" s="1455">
        <f t="shared" si="6"/>
        <v>389402</v>
      </c>
      <c r="K40" s="1455">
        <f t="shared" si="6"/>
        <v>395755</v>
      </c>
      <c r="L40" s="1457">
        <f t="shared" si="6"/>
        <v>0</v>
      </c>
      <c r="M40" s="1457">
        <f t="shared" si="6"/>
        <v>0</v>
      </c>
      <c r="N40" s="1457">
        <f t="shared" si="6"/>
        <v>0</v>
      </c>
      <c r="O40" s="1457">
        <f t="shared" si="6"/>
        <v>0</v>
      </c>
      <c r="P40" s="1457">
        <f t="shared" si="6"/>
        <v>0</v>
      </c>
    </row>
    <row r="41" spans="1:16" ht="12.75" hidden="1" customHeight="1" x14ac:dyDescent="0.25">
      <c r="A41" s="1443" t="s">
        <v>546</v>
      </c>
      <c r="B41" s="1460">
        <f t="shared" ref="B41:P41" si="7">B40/B48</f>
        <v>120.1275258194881</v>
      </c>
      <c r="C41" s="1460">
        <f t="shared" si="7"/>
        <v>126.0966405890474</v>
      </c>
      <c r="D41" s="1460">
        <f t="shared" si="7"/>
        <v>145.8665762098598</v>
      </c>
      <c r="E41" s="1460">
        <f t="shared" si="7"/>
        <v>147.85938903863433</v>
      </c>
      <c r="F41" s="1460">
        <f t="shared" si="7"/>
        <v>145.55243600330306</v>
      </c>
      <c r="G41" s="1460">
        <f t="shared" si="7"/>
        <v>149.04847250509164</v>
      </c>
      <c r="H41" s="1460">
        <f t="shared" si="7"/>
        <v>147.89619651347067</v>
      </c>
      <c r="I41" s="1460">
        <f t="shared" si="7"/>
        <v>157.69728171334432</v>
      </c>
      <c r="J41" s="1460">
        <f t="shared" si="7"/>
        <v>162.18325697625988</v>
      </c>
      <c r="K41" s="1460">
        <f t="shared" si="7"/>
        <v>181.87270220588235</v>
      </c>
      <c r="L41" s="1462">
        <f t="shared" si="7"/>
        <v>0</v>
      </c>
      <c r="M41" s="1462">
        <f t="shared" si="7"/>
        <v>0</v>
      </c>
      <c r="N41" s="1462">
        <f t="shared" si="7"/>
        <v>0</v>
      </c>
      <c r="O41" s="1462">
        <f t="shared" si="7"/>
        <v>0</v>
      </c>
      <c r="P41" s="1462">
        <f t="shared" si="7"/>
        <v>0</v>
      </c>
    </row>
    <row r="42" spans="1:16" ht="12.75" hidden="1" customHeight="1" x14ac:dyDescent="0.25">
      <c r="A42" s="1443" t="s">
        <v>547</v>
      </c>
      <c r="B42" s="1455">
        <v>876</v>
      </c>
      <c r="C42" s="1444">
        <v>875</v>
      </c>
      <c r="D42" s="1444">
        <v>748</v>
      </c>
      <c r="E42" s="1444">
        <v>763</v>
      </c>
      <c r="F42" s="1444">
        <v>790</v>
      </c>
      <c r="G42" s="1444">
        <v>806</v>
      </c>
      <c r="H42" s="1444">
        <v>823</v>
      </c>
      <c r="I42" s="1444">
        <v>657</v>
      </c>
      <c r="J42" s="1444">
        <v>656</v>
      </c>
      <c r="K42" s="1444">
        <v>651</v>
      </c>
      <c r="L42" s="1454"/>
      <c r="M42" s="1454"/>
      <c r="N42" s="1454"/>
      <c r="O42" s="1454"/>
      <c r="P42" s="1454"/>
    </row>
    <row r="43" spans="1:16" ht="12.75" hidden="1" customHeight="1" x14ac:dyDescent="0.25">
      <c r="A43" s="1441"/>
      <c r="B43" s="1442"/>
      <c r="C43" s="1442"/>
      <c r="D43" s="1442"/>
      <c r="E43" s="1442"/>
      <c r="F43" s="1442"/>
      <c r="G43" s="1442"/>
      <c r="H43" s="1442"/>
      <c r="I43" s="1442"/>
      <c r="J43" s="1442"/>
      <c r="K43" s="1442"/>
      <c r="L43" s="1453"/>
      <c r="M43" s="1453"/>
      <c r="N43" s="1453"/>
      <c r="O43" s="1453"/>
      <c r="P43" s="1453"/>
    </row>
    <row r="44" spans="1:16" ht="12.75" hidden="1" customHeight="1" x14ac:dyDescent="0.25">
      <c r="A44" s="1443" t="s">
        <v>1569</v>
      </c>
      <c r="B44" s="1455">
        <v>9778</v>
      </c>
      <c r="C44" s="1444">
        <v>7894</v>
      </c>
      <c r="D44" s="1455">
        <v>6512</v>
      </c>
      <c r="E44" s="1455">
        <v>5584</v>
      </c>
      <c r="F44" s="1455">
        <v>4964</v>
      </c>
      <c r="G44" s="1455">
        <v>5028</v>
      </c>
      <c r="H44" s="1455">
        <v>4704</v>
      </c>
      <c r="I44" s="1455">
        <v>2942</v>
      </c>
      <c r="J44" s="1455">
        <v>2818</v>
      </c>
      <c r="K44" s="1455">
        <v>2300</v>
      </c>
      <c r="L44" s="1457"/>
      <c r="M44" s="1457">
        <f>SUM(M45:M46)</f>
        <v>1713</v>
      </c>
      <c r="N44" s="1457">
        <f t="shared" ref="N44:P44" si="8">SUM(N45:N46)</f>
        <v>0</v>
      </c>
      <c r="O44" s="1457">
        <f t="shared" si="8"/>
        <v>0</v>
      </c>
      <c r="P44" s="1457">
        <f t="shared" si="8"/>
        <v>0</v>
      </c>
    </row>
    <row r="45" spans="1:16" ht="12.75" hidden="1" customHeight="1" x14ac:dyDescent="0.3">
      <c r="A45" s="1443" t="s">
        <v>1570</v>
      </c>
      <c r="B45" s="1455"/>
      <c r="C45" s="1444"/>
      <c r="D45" s="1455"/>
      <c r="E45" s="1455"/>
      <c r="F45" s="1455"/>
      <c r="G45" s="1455"/>
      <c r="H45" s="1455"/>
      <c r="I45" s="1455"/>
      <c r="J45" s="1455"/>
      <c r="K45" s="1455"/>
      <c r="L45" s="1457"/>
      <c r="M45" s="1438">
        <f>1235</f>
        <v>1235</v>
      </c>
      <c r="N45" s="1457"/>
      <c r="O45" s="1457"/>
      <c r="P45" s="1457"/>
    </row>
    <row r="46" spans="1:16" ht="12.75" hidden="1" customHeight="1" x14ac:dyDescent="0.3">
      <c r="A46" s="1443" t="s">
        <v>1571</v>
      </c>
      <c r="B46" s="1455"/>
      <c r="C46" s="1444"/>
      <c r="D46" s="1455"/>
      <c r="E46" s="1455"/>
      <c r="F46" s="1455"/>
      <c r="G46" s="1455"/>
      <c r="H46" s="1455"/>
      <c r="I46" s="1455"/>
      <c r="J46" s="1455"/>
      <c r="K46" s="1455"/>
      <c r="L46" s="1457"/>
      <c r="M46" s="1438">
        <v>478</v>
      </c>
      <c r="N46" s="1457"/>
      <c r="O46" s="1457"/>
      <c r="P46" s="1457"/>
    </row>
    <row r="47" spans="1:16" ht="12.75" customHeight="1" x14ac:dyDescent="0.25">
      <c r="A47" s="1441"/>
      <c r="B47" s="1442"/>
      <c r="C47" s="1442"/>
      <c r="D47" s="1442"/>
      <c r="E47" s="1442"/>
      <c r="F47" s="1442"/>
      <c r="G47" s="1442"/>
      <c r="H47" s="1442"/>
      <c r="I47" s="1442"/>
      <c r="J47" s="1442"/>
      <c r="K47" s="1442"/>
      <c r="L47" s="1453"/>
      <c r="M47" s="1453"/>
      <c r="N47" s="1453"/>
      <c r="O47" s="1453"/>
      <c r="P47" s="1453"/>
    </row>
    <row r="48" spans="1:16" ht="12.75" customHeight="1" x14ac:dyDescent="0.25">
      <c r="A48" s="1444" t="s">
        <v>548</v>
      </c>
      <c r="B48" s="1444">
        <v>2227</v>
      </c>
      <c r="C48" s="1444">
        <v>2173</v>
      </c>
      <c r="D48" s="1444">
        <v>2211</v>
      </c>
      <c r="E48" s="1444">
        <v>2226</v>
      </c>
      <c r="F48" s="1444">
        <v>2422</v>
      </c>
      <c r="G48" s="1444">
        <v>2455</v>
      </c>
      <c r="H48" s="1444">
        <v>2524</v>
      </c>
      <c r="I48" s="1444">
        <v>2428</v>
      </c>
      <c r="J48" s="1444">
        <v>2401</v>
      </c>
      <c r="K48" s="1444">
        <v>2176</v>
      </c>
      <c r="L48" s="1454">
        <v>2377</v>
      </c>
      <c r="M48" s="1454">
        <v>2646</v>
      </c>
      <c r="N48" s="1454">
        <v>2847</v>
      </c>
      <c r="O48" s="1454">
        <v>2842</v>
      </c>
      <c r="P48" s="1454">
        <v>2818</v>
      </c>
    </row>
    <row r="49" spans="1:13" ht="12.75" customHeight="1" x14ac:dyDescent="0.25"/>
    <row r="50" spans="1:13" ht="12.75" customHeight="1" x14ac:dyDescent="0.25">
      <c r="A50" s="1437"/>
      <c r="M50" s="1435"/>
    </row>
    <row r="52" spans="1:13" x14ac:dyDescent="0.25">
      <c r="A52" s="1436" t="s">
        <v>807</v>
      </c>
    </row>
  </sheetData>
  <mergeCells count="1">
    <mergeCell ref="A1:P1"/>
  </mergeCells>
  <printOptions horizontalCentered="1" verticalCentered="1"/>
  <pageMargins left="1" right="0.75" top="1" bottom="1" header="0.5" footer="0.5"/>
  <pageSetup orientation="portrait" r:id="rId1"/>
  <headerFooter alignWithMargins="0">
    <oddFooter>&amp;L&amp;7Source: Office of the Director of the Library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2">
    <pageSetUpPr fitToPage="1"/>
  </sheetPr>
  <dimension ref="A1:N16"/>
  <sheetViews>
    <sheetView workbookViewId="0">
      <selection sqref="A1:G1"/>
    </sheetView>
  </sheetViews>
  <sheetFormatPr defaultColWidth="6.6640625" defaultRowHeight="13.2" x14ac:dyDescent="0.25"/>
  <cols>
    <col min="1" max="1" width="6.6640625" style="1" customWidth="1"/>
    <col min="2" max="7" width="15.6640625" style="1" customWidth="1"/>
    <col min="8" max="8" width="6.6640625" style="1" customWidth="1"/>
    <col min="9" max="9" width="12.6640625" style="1" customWidth="1"/>
    <col min="10" max="11" width="14.5546875" style="1" customWidth="1"/>
    <col min="12" max="13" width="15.44140625" style="1" customWidth="1"/>
    <col min="14" max="16384" width="6.6640625" style="1"/>
  </cols>
  <sheetData>
    <row r="1" spans="1:14" ht="20.100000000000001" customHeight="1" x14ac:dyDescent="0.25">
      <c r="A1" s="1694" t="s">
        <v>763</v>
      </c>
      <c r="B1" s="1694"/>
      <c r="C1" s="1694"/>
      <c r="D1" s="1694"/>
      <c r="E1" s="1694"/>
      <c r="F1" s="1694"/>
      <c r="G1" s="1694"/>
    </row>
    <row r="2" spans="1:14" ht="20.100000000000001" customHeight="1" thickBot="1" x14ac:dyDescent="0.3">
      <c r="A2" s="14"/>
      <c r="B2" s="15"/>
      <c r="C2" s="15"/>
      <c r="D2" s="15"/>
      <c r="E2" s="15"/>
      <c r="F2" s="15"/>
    </row>
    <row r="3" spans="1:14" s="13" customFormat="1" ht="36.9" customHeight="1" x14ac:dyDescent="0.3">
      <c r="A3" s="898" t="s">
        <v>764</v>
      </c>
      <c r="B3" s="899" t="s">
        <v>765</v>
      </c>
      <c r="C3" s="900" t="s">
        <v>766</v>
      </c>
      <c r="D3" s="901" t="s">
        <v>767</v>
      </c>
      <c r="E3" s="900" t="s">
        <v>768</v>
      </c>
      <c r="F3" s="901" t="s">
        <v>769</v>
      </c>
      <c r="G3" s="902" t="s">
        <v>1320</v>
      </c>
      <c r="I3" s="19" t="s">
        <v>770</v>
      </c>
      <c r="J3" s="17" t="s">
        <v>765</v>
      </c>
      <c r="K3" s="18" t="s">
        <v>766</v>
      </c>
      <c r="L3" s="18" t="s">
        <v>768</v>
      </c>
    </row>
    <row r="4" spans="1:14" x14ac:dyDescent="0.25">
      <c r="A4" s="410"/>
      <c r="B4" s="411"/>
      <c r="C4" s="411"/>
      <c r="D4" s="412"/>
      <c r="E4" s="411"/>
      <c r="F4" s="412"/>
      <c r="G4" s="412"/>
      <c r="I4" s="20">
        <v>2008</v>
      </c>
      <c r="J4" s="21">
        <f>+B5</f>
        <v>2114</v>
      </c>
      <c r="K4" s="21">
        <f>+C5</f>
        <v>964</v>
      </c>
      <c r="L4" s="21">
        <f>+E5</f>
        <v>555</v>
      </c>
      <c r="M4" s="8"/>
      <c r="N4" s="8"/>
    </row>
    <row r="5" spans="1:14" x14ac:dyDescent="0.25">
      <c r="A5" s="22">
        <v>2008</v>
      </c>
      <c r="B5" s="21">
        <v>2114</v>
      </c>
      <c r="C5" s="21">
        <f>973-9</f>
        <v>964</v>
      </c>
      <c r="D5" s="23">
        <f>C5/B5</f>
        <v>0.45600756859035002</v>
      </c>
      <c r="E5" s="21">
        <v>555</v>
      </c>
      <c r="F5" s="23">
        <f>E5/B5</f>
        <v>0.26253547776726582</v>
      </c>
      <c r="G5" s="23">
        <f>+E5/C5</f>
        <v>0.57572614107883813</v>
      </c>
      <c r="I5" s="20">
        <f>+I4+1</f>
        <v>2009</v>
      </c>
      <c r="J5" s="21">
        <f>+B7</f>
        <v>2654</v>
      </c>
      <c r="K5" s="21">
        <f>+C7</f>
        <v>1246</v>
      </c>
      <c r="L5" s="21">
        <f>+E7</f>
        <v>582</v>
      </c>
      <c r="M5" s="8"/>
      <c r="N5" s="8"/>
    </row>
    <row r="6" spans="1:14" x14ac:dyDescent="0.25">
      <c r="A6" s="410"/>
      <c r="B6" s="411"/>
      <c r="C6" s="411"/>
      <c r="D6" s="412"/>
      <c r="E6" s="411"/>
      <c r="F6" s="412"/>
      <c r="G6" s="412"/>
      <c r="I6" s="20">
        <f>+I5+1</f>
        <v>2010</v>
      </c>
      <c r="J6" s="21">
        <f>+B9</f>
        <v>2901</v>
      </c>
      <c r="K6" s="21">
        <f>+C9</f>
        <v>1319</v>
      </c>
      <c r="L6" s="21">
        <f>+E9</f>
        <v>686</v>
      </c>
      <c r="M6" s="8"/>
      <c r="N6" s="8"/>
    </row>
    <row r="7" spans="1:14" x14ac:dyDescent="0.25">
      <c r="A7" s="22">
        <v>2009</v>
      </c>
      <c r="B7" s="21">
        <v>2654</v>
      </c>
      <c r="C7" s="21">
        <v>1246</v>
      </c>
      <c r="D7" s="23">
        <f>C7/B7</f>
        <v>0.46948003014318013</v>
      </c>
      <c r="E7" s="21">
        <v>582</v>
      </c>
      <c r="F7" s="23">
        <f>E7/B7</f>
        <v>0.21929163526752071</v>
      </c>
      <c r="G7" s="23">
        <f>+E7/C7</f>
        <v>0.46709470304975925</v>
      </c>
      <c r="I7" s="20">
        <f>+I6+1</f>
        <v>2011</v>
      </c>
      <c r="J7" s="21">
        <f>+B11</f>
        <v>3189</v>
      </c>
      <c r="K7" s="21">
        <f>+C11</f>
        <v>1348</v>
      </c>
      <c r="L7" s="21">
        <f>+E11</f>
        <v>595</v>
      </c>
      <c r="M7" s="8"/>
      <c r="N7" s="8"/>
    </row>
    <row r="8" spans="1:14" x14ac:dyDescent="0.25">
      <c r="A8" s="410"/>
      <c r="B8" s="411"/>
      <c r="C8" s="411"/>
      <c r="D8" s="412"/>
      <c r="E8" s="411"/>
      <c r="F8" s="412"/>
      <c r="G8" s="412"/>
      <c r="I8" s="20">
        <f>+I7+1</f>
        <v>2012</v>
      </c>
      <c r="J8" s="21">
        <f>+B13</f>
        <v>3349</v>
      </c>
      <c r="K8" s="21">
        <f>+C13</f>
        <v>1412</v>
      </c>
      <c r="L8" s="21">
        <f>+E13</f>
        <v>569</v>
      </c>
      <c r="M8" s="8"/>
      <c r="N8" s="8"/>
    </row>
    <row r="9" spans="1:14" x14ac:dyDescent="0.25">
      <c r="A9" s="22">
        <v>2010</v>
      </c>
      <c r="B9" s="21">
        <v>2901</v>
      </c>
      <c r="C9" s="21">
        <v>1319</v>
      </c>
      <c r="D9" s="23">
        <f>C9/B9</f>
        <v>0.45467080317132025</v>
      </c>
      <c r="E9" s="21">
        <v>686</v>
      </c>
      <c r="F9" s="23">
        <f>E9/B9</f>
        <v>0.2364701826956222</v>
      </c>
      <c r="G9" s="23">
        <f>+E9/C9</f>
        <v>0.52009097801364668</v>
      </c>
      <c r="M9" s="8"/>
      <c r="N9" s="8"/>
    </row>
    <row r="10" spans="1:14" x14ac:dyDescent="0.25">
      <c r="A10" s="410"/>
      <c r="B10" s="411"/>
      <c r="C10" s="411"/>
      <c r="D10" s="412"/>
      <c r="E10" s="411"/>
      <c r="F10" s="412"/>
      <c r="G10" s="412"/>
      <c r="M10" s="8"/>
      <c r="N10" s="8"/>
    </row>
    <row r="11" spans="1:14" ht="13.8" thickBot="1" x14ac:dyDescent="0.3">
      <c r="A11" s="903">
        <v>2011</v>
      </c>
      <c r="B11" s="904">
        <v>3189</v>
      </c>
      <c r="C11" s="904">
        <v>1348</v>
      </c>
      <c r="D11" s="905">
        <f>C11/B11</f>
        <v>0.42270304170586392</v>
      </c>
      <c r="E11" s="904">
        <v>595</v>
      </c>
      <c r="F11" s="905">
        <f>E11/B11</f>
        <v>0.18657886484791469</v>
      </c>
      <c r="G11" s="905">
        <f>+E11/C11</f>
        <v>0.4413946587537092</v>
      </c>
      <c r="M11" s="8"/>
      <c r="N11" s="8"/>
    </row>
    <row r="12" spans="1:14" x14ac:dyDescent="0.25">
      <c r="A12" s="410"/>
      <c r="B12" s="411"/>
      <c r="C12" s="411"/>
      <c r="D12" s="412"/>
      <c r="E12" s="411"/>
      <c r="F12" s="412"/>
      <c r="G12" s="412"/>
      <c r="I12" s="104"/>
      <c r="M12" s="8"/>
      <c r="N12" s="8"/>
    </row>
    <row r="13" spans="1:14" ht="13.8" thickBot="1" x14ac:dyDescent="0.3">
      <c r="A13" s="903">
        <v>2012</v>
      </c>
      <c r="B13" s="904">
        <v>3349</v>
      </c>
      <c r="C13" s="904">
        <v>1412</v>
      </c>
      <c r="D13" s="905">
        <f>C13/B13</f>
        <v>0.42161839355031355</v>
      </c>
      <c r="E13" s="904">
        <v>569</v>
      </c>
      <c r="F13" s="905">
        <f>E13/B13</f>
        <v>0.16990146312332038</v>
      </c>
      <c r="G13" s="905">
        <f>+E13/C13</f>
        <v>0.40297450424929177</v>
      </c>
      <c r="M13" s="8"/>
      <c r="N13" s="8"/>
    </row>
    <row r="14" spans="1:14" x14ac:dyDescent="0.25">
      <c r="I14" s="104"/>
      <c r="M14" s="8"/>
      <c r="N14" s="8"/>
    </row>
    <row r="15" spans="1:14" x14ac:dyDescent="0.25">
      <c r="M15" s="8"/>
      <c r="N15" s="8"/>
    </row>
    <row r="16" spans="1:14" x14ac:dyDescent="0.25">
      <c r="I16" s="104"/>
    </row>
  </sheetData>
  <mergeCells count="1">
    <mergeCell ref="A1:G1"/>
  </mergeCells>
  <phoneticPr fontId="15" type="noConversion"/>
  <printOptions horizontalCentered="1" verticalCentered="1"/>
  <pageMargins left="0.75" right="0.75" top="1" bottom="0.7" header="0.5" footer="0.5"/>
  <pageSetup orientation="landscape" r:id="rId1"/>
  <headerFooter alignWithMargins="0">
    <oddHeader xml:space="preserve">&amp;C </oddHeader>
    <oddFooter>&amp;C &amp;R&amp;8Source: Office of Admissions</oddFooter>
  </headerFooter>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pageSetUpPr fitToPage="1"/>
  </sheetPr>
  <dimension ref="A1:J46"/>
  <sheetViews>
    <sheetView workbookViewId="0">
      <selection sqref="A1:J1"/>
    </sheetView>
  </sheetViews>
  <sheetFormatPr defaultColWidth="6.6640625" defaultRowHeight="13.2" x14ac:dyDescent="0.25"/>
  <cols>
    <col min="1" max="1" width="15.6640625" style="266" customWidth="1"/>
    <col min="2" max="5" width="8.6640625" style="266" hidden="1" customWidth="1"/>
    <col min="6" max="10" width="8.6640625" style="266" customWidth="1"/>
    <col min="11" max="16384" width="6.6640625" style="266"/>
  </cols>
  <sheetData>
    <row r="1" spans="1:10" ht="80.099999999999994" customHeight="1" x14ac:dyDescent="0.25">
      <c r="A1" s="1792" t="s">
        <v>572</v>
      </c>
      <c r="B1" s="1792"/>
      <c r="C1" s="1792"/>
      <c r="D1" s="1792"/>
      <c r="E1" s="1792"/>
      <c r="F1" s="1792"/>
      <c r="G1" s="1792"/>
      <c r="H1" s="1792"/>
      <c r="I1" s="1792"/>
      <c r="J1" s="1792"/>
    </row>
    <row r="2" spans="1:10" x14ac:dyDescent="0.25">
      <c r="A2" s="267"/>
      <c r="B2" s="267"/>
      <c r="C2" s="267"/>
      <c r="D2" s="267"/>
      <c r="E2" s="267"/>
      <c r="F2" s="267"/>
    </row>
    <row r="3" spans="1:10" x14ac:dyDescent="0.25">
      <c r="A3" s="326" t="s">
        <v>1267</v>
      </c>
      <c r="B3" s="268">
        <v>2000</v>
      </c>
      <c r="C3" s="268">
        <v>2001</v>
      </c>
      <c r="D3" s="268">
        <v>2002</v>
      </c>
      <c r="E3" s="250">
        <v>2007</v>
      </c>
      <c r="F3" s="250">
        <f>+E3+1</f>
        <v>2008</v>
      </c>
      <c r="G3" s="250">
        <f>+F3+1</f>
        <v>2009</v>
      </c>
      <c r="H3" s="250">
        <f>+G3+1</f>
        <v>2010</v>
      </c>
      <c r="I3" s="250">
        <f>+H3+1</f>
        <v>2011</v>
      </c>
      <c r="J3" s="250">
        <v>2012</v>
      </c>
    </row>
    <row r="4" spans="1:10" ht="12.75" customHeight="1" x14ac:dyDescent="0.3">
      <c r="A4" s="385"/>
      <c r="B4" s="385"/>
      <c r="C4" s="385"/>
      <c r="D4" s="385"/>
      <c r="E4" s="385"/>
      <c r="F4" s="385"/>
      <c r="G4" s="385"/>
      <c r="H4" s="385"/>
      <c r="I4" s="385"/>
      <c r="J4" s="385"/>
    </row>
    <row r="5" spans="1:10" ht="12.75" customHeight="1" x14ac:dyDescent="0.25">
      <c r="A5" s="270" t="s">
        <v>1268</v>
      </c>
      <c r="B5" s="271"/>
      <c r="C5" s="271"/>
      <c r="D5" s="271">
        <v>0</v>
      </c>
      <c r="E5" s="271">
        <v>1</v>
      </c>
      <c r="F5" s="271">
        <v>1</v>
      </c>
      <c r="G5" s="271">
        <v>1</v>
      </c>
      <c r="H5" s="271">
        <v>1</v>
      </c>
      <c r="I5" s="271">
        <v>1</v>
      </c>
      <c r="J5" s="271">
        <v>1</v>
      </c>
    </row>
    <row r="6" spans="1:10" ht="12.75" customHeight="1" x14ac:dyDescent="0.25">
      <c r="A6" s="270" t="s">
        <v>1269</v>
      </c>
      <c r="B6" s="271">
        <v>0</v>
      </c>
      <c r="C6" s="271">
        <v>0</v>
      </c>
      <c r="D6" s="271">
        <v>0</v>
      </c>
      <c r="E6" s="271">
        <v>2</v>
      </c>
      <c r="F6" s="271">
        <v>4</v>
      </c>
      <c r="G6" s="271">
        <v>4</v>
      </c>
      <c r="H6" s="271">
        <v>2</v>
      </c>
      <c r="I6" s="271">
        <v>2</v>
      </c>
      <c r="J6" s="271">
        <v>2</v>
      </c>
    </row>
    <row r="7" spans="1:10" x14ac:dyDescent="0.25">
      <c r="A7" s="270" t="s">
        <v>1270</v>
      </c>
      <c r="B7" s="271">
        <v>2</v>
      </c>
      <c r="C7" s="271">
        <v>3</v>
      </c>
      <c r="D7" s="271">
        <v>2</v>
      </c>
      <c r="E7" s="271">
        <v>2</v>
      </c>
      <c r="F7" s="271">
        <v>1</v>
      </c>
      <c r="G7" s="271">
        <v>1</v>
      </c>
      <c r="H7" s="271">
        <v>3</v>
      </c>
      <c r="I7" s="271">
        <v>4</v>
      </c>
      <c r="J7" s="271">
        <v>6</v>
      </c>
    </row>
    <row r="8" spans="1:10" x14ac:dyDescent="0.25">
      <c r="A8" s="1080" t="s">
        <v>1257</v>
      </c>
      <c r="B8" s="271"/>
      <c r="C8" s="271"/>
      <c r="D8" s="271"/>
      <c r="E8" s="271">
        <v>0</v>
      </c>
      <c r="F8" s="271">
        <v>0</v>
      </c>
      <c r="G8" s="271">
        <v>0</v>
      </c>
      <c r="H8" s="271">
        <v>0</v>
      </c>
      <c r="I8" s="271">
        <v>1</v>
      </c>
      <c r="J8" s="271">
        <v>1</v>
      </c>
    </row>
    <row r="9" spans="1:10" x14ac:dyDescent="0.25">
      <c r="A9" s="270" t="s">
        <v>1271</v>
      </c>
      <c r="B9" s="271">
        <v>2</v>
      </c>
      <c r="C9" s="271">
        <v>3</v>
      </c>
      <c r="D9" s="271">
        <v>3</v>
      </c>
      <c r="E9" s="271">
        <v>3</v>
      </c>
      <c r="F9" s="271">
        <v>3</v>
      </c>
      <c r="G9" s="271">
        <v>3</v>
      </c>
      <c r="H9" s="271">
        <v>3</v>
      </c>
      <c r="I9" s="271">
        <v>3</v>
      </c>
      <c r="J9" s="271">
        <v>3</v>
      </c>
    </row>
    <row r="10" spans="1:10" x14ac:dyDescent="0.25">
      <c r="A10" s="270" t="s">
        <v>1272</v>
      </c>
      <c r="B10" s="271">
        <v>1</v>
      </c>
      <c r="C10" s="271">
        <v>1</v>
      </c>
      <c r="D10" s="271">
        <v>1</v>
      </c>
      <c r="E10" s="271">
        <v>3</v>
      </c>
      <c r="F10" s="271">
        <v>3</v>
      </c>
      <c r="G10" s="271">
        <v>3</v>
      </c>
      <c r="H10" s="271">
        <v>3</v>
      </c>
      <c r="I10" s="271">
        <v>3</v>
      </c>
      <c r="J10" s="271">
        <v>3</v>
      </c>
    </row>
    <row r="11" spans="1:10" x14ac:dyDescent="0.25">
      <c r="A11" s="270" t="s">
        <v>1273</v>
      </c>
      <c r="B11" s="271">
        <v>2</v>
      </c>
      <c r="C11" s="271">
        <v>1</v>
      </c>
      <c r="D11" s="271">
        <v>1</v>
      </c>
      <c r="E11" s="271">
        <v>1</v>
      </c>
      <c r="F11" s="271">
        <v>2</v>
      </c>
      <c r="G11" s="271">
        <v>2</v>
      </c>
      <c r="H11" s="271">
        <v>3</v>
      </c>
      <c r="I11" s="271">
        <v>4</v>
      </c>
      <c r="J11" s="271">
        <v>6</v>
      </c>
    </row>
    <row r="12" spans="1:10" x14ac:dyDescent="0.25">
      <c r="A12" s="270" t="s">
        <v>1274</v>
      </c>
      <c r="B12" s="271">
        <v>2</v>
      </c>
      <c r="C12" s="271">
        <v>2</v>
      </c>
      <c r="D12" s="271">
        <v>2</v>
      </c>
      <c r="E12" s="271">
        <v>2</v>
      </c>
      <c r="F12" s="271">
        <v>2</v>
      </c>
      <c r="G12" s="271">
        <v>2</v>
      </c>
      <c r="H12" s="271">
        <v>3</v>
      </c>
      <c r="I12" s="271">
        <v>3</v>
      </c>
      <c r="J12" s="271">
        <v>3</v>
      </c>
    </row>
    <row r="13" spans="1:10" x14ac:dyDescent="0.25">
      <c r="A13" s="270" t="s">
        <v>1275</v>
      </c>
      <c r="B13" s="271">
        <v>4</v>
      </c>
      <c r="C13" s="271">
        <v>4</v>
      </c>
      <c r="D13" s="271">
        <v>3</v>
      </c>
      <c r="E13" s="271">
        <v>7</v>
      </c>
      <c r="F13" s="271">
        <v>8</v>
      </c>
      <c r="G13" s="271">
        <v>8</v>
      </c>
      <c r="H13" s="271">
        <v>9</v>
      </c>
      <c r="I13" s="271">
        <v>7</v>
      </c>
      <c r="J13" s="271">
        <v>11</v>
      </c>
    </row>
    <row r="14" spans="1:10" x14ac:dyDescent="0.25">
      <c r="A14" s="270" t="s">
        <v>468</v>
      </c>
      <c r="B14" s="271"/>
      <c r="C14" s="271">
        <v>0</v>
      </c>
      <c r="D14" s="271">
        <v>0</v>
      </c>
      <c r="E14" s="271">
        <v>1</v>
      </c>
      <c r="F14" s="271">
        <v>1</v>
      </c>
      <c r="G14" s="271">
        <v>1</v>
      </c>
      <c r="H14" s="271">
        <v>1</v>
      </c>
      <c r="I14" s="271">
        <v>1</v>
      </c>
      <c r="J14" s="271">
        <v>1</v>
      </c>
    </row>
    <row r="15" spans="1:10" x14ac:dyDescent="0.25">
      <c r="A15" s="1080" t="s">
        <v>1374</v>
      </c>
      <c r="B15" s="271"/>
      <c r="C15" s="271"/>
      <c r="D15" s="271"/>
      <c r="E15" s="271">
        <v>0</v>
      </c>
      <c r="F15" s="271">
        <v>0</v>
      </c>
      <c r="G15" s="271">
        <v>0</v>
      </c>
      <c r="H15" s="271">
        <v>0</v>
      </c>
      <c r="I15" s="271">
        <v>1</v>
      </c>
      <c r="J15" s="271">
        <v>1</v>
      </c>
    </row>
    <row r="16" spans="1:10" x14ac:dyDescent="0.25">
      <c r="A16" s="270" t="s">
        <v>1277</v>
      </c>
      <c r="B16" s="271">
        <v>0</v>
      </c>
      <c r="C16" s="271">
        <v>0</v>
      </c>
      <c r="D16" s="271">
        <v>0</v>
      </c>
      <c r="E16" s="271">
        <v>3</v>
      </c>
      <c r="F16" s="271">
        <v>4</v>
      </c>
      <c r="G16" s="271">
        <v>4</v>
      </c>
      <c r="H16" s="271">
        <v>5</v>
      </c>
      <c r="I16" s="271">
        <v>5</v>
      </c>
      <c r="J16" s="271">
        <v>6</v>
      </c>
    </row>
    <row r="17" spans="1:10" x14ac:dyDescent="0.25">
      <c r="A17" s="270" t="s">
        <v>1278</v>
      </c>
      <c r="B17" s="271">
        <v>3</v>
      </c>
      <c r="C17" s="271">
        <v>3</v>
      </c>
      <c r="D17" s="271">
        <v>4</v>
      </c>
      <c r="E17" s="271">
        <v>5</v>
      </c>
      <c r="F17" s="271">
        <v>4</v>
      </c>
      <c r="G17" s="271">
        <v>4</v>
      </c>
      <c r="H17" s="271">
        <v>4</v>
      </c>
      <c r="I17" s="271">
        <v>4</v>
      </c>
      <c r="J17" s="271">
        <v>5</v>
      </c>
    </row>
    <row r="18" spans="1:10" x14ac:dyDescent="0.25">
      <c r="A18" s="270" t="s">
        <v>1279</v>
      </c>
      <c r="B18" s="271">
        <v>4</v>
      </c>
      <c r="C18" s="271">
        <v>10</v>
      </c>
      <c r="D18" s="271">
        <v>13</v>
      </c>
      <c r="E18" s="271">
        <v>17</v>
      </c>
      <c r="F18" s="271">
        <v>19</v>
      </c>
      <c r="G18" s="271">
        <v>20</v>
      </c>
      <c r="H18" s="271">
        <v>19</v>
      </c>
      <c r="I18" s="271">
        <v>21</v>
      </c>
      <c r="J18" s="271">
        <v>21</v>
      </c>
    </row>
    <row r="19" spans="1:10" x14ac:dyDescent="0.25">
      <c r="A19" s="270" t="s">
        <v>744</v>
      </c>
      <c r="B19" s="271">
        <v>0</v>
      </c>
      <c r="C19" s="271">
        <v>0</v>
      </c>
      <c r="D19" s="271">
        <v>2</v>
      </c>
      <c r="E19" s="271">
        <v>0</v>
      </c>
      <c r="F19" s="271">
        <v>0</v>
      </c>
      <c r="G19" s="271">
        <v>0</v>
      </c>
      <c r="H19" s="271">
        <v>1</v>
      </c>
      <c r="I19" s="271">
        <v>0</v>
      </c>
      <c r="J19" s="271">
        <v>1</v>
      </c>
    </row>
    <row r="20" spans="1:10" x14ac:dyDescent="0.25">
      <c r="A20" s="270" t="s">
        <v>1280</v>
      </c>
      <c r="B20" s="271">
        <v>1</v>
      </c>
      <c r="C20" s="271">
        <v>1</v>
      </c>
      <c r="D20" s="271">
        <v>1</v>
      </c>
      <c r="E20" s="271">
        <v>1</v>
      </c>
      <c r="F20" s="271">
        <v>1</v>
      </c>
      <c r="G20" s="271">
        <v>1</v>
      </c>
      <c r="H20" s="271">
        <v>1</v>
      </c>
      <c r="I20" s="271">
        <v>1</v>
      </c>
      <c r="J20" s="271">
        <v>1</v>
      </c>
    </row>
    <row r="21" spans="1:10" x14ac:dyDescent="0.25">
      <c r="A21" s="1080" t="s">
        <v>147</v>
      </c>
      <c r="B21" s="271"/>
      <c r="C21" s="271"/>
      <c r="D21" s="271"/>
      <c r="E21" s="271">
        <v>0</v>
      </c>
      <c r="F21" s="271">
        <v>0</v>
      </c>
      <c r="G21" s="271">
        <v>0</v>
      </c>
      <c r="H21" s="271">
        <v>0</v>
      </c>
      <c r="I21" s="271">
        <v>1</v>
      </c>
      <c r="J21" s="271">
        <v>1</v>
      </c>
    </row>
    <row r="22" spans="1:10" x14ac:dyDescent="0.25">
      <c r="A22" s="1080" t="s">
        <v>262</v>
      </c>
      <c r="B22" s="271"/>
      <c r="C22" s="271"/>
      <c r="D22" s="271"/>
      <c r="E22" s="271">
        <v>0</v>
      </c>
      <c r="F22" s="271">
        <v>0</v>
      </c>
      <c r="G22" s="271">
        <v>0</v>
      </c>
      <c r="H22" s="271">
        <v>0</v>
      </c>
      <c r="I22" s="271">
        <v>1</v>
      </c>
      <c r="J22" s="271">
        <v>1</v>
      </c>
    </row>
    <row r="23" spans="1:10" x14ac:dyDescent="0.25">
      <c r="A23" s="270" t="s">
        <v>573</v>
      </c>
      <c r="B23" s="271">
        <v>5</v>
      </c>
      <c r="C23" s="271">
        <v>5</v>
      </c>
      <c r="D23" s="271">
        <v>5</v>
      </c>
      <c r="E23" s="271">
        <v>3</v>
      </c>
      <c r="F23" s="271">
        <v>3</v>
      </c>
      <c r="G23" s="271">
        <v>3</v>
      </c>
      <c r="H23" s="271">
        <v>2</v>
      </c>
      <c r="I23" s="271">
        <v>3</v>
      </c>
      <c r="J23" s="271">
        <v>2</v>
      </c>
    </row>
    <row r="24" spans="1:10" x14ac:dyDescent="0.25">
      <c r="A24" s="270" t="s">
        <v>574</v>
      </c>
      <c r="B24" s="271">
        <v>1</v>
      </c>
      <c r="C24" s="271">
        <v>1</v>
      </c>
      <c r="D24" s="271">
        <v>1</v>
      </c>
      <c r="E24" s="271">
        <v>1</v>
      </c>
      <c r="F24" s="271">
        <v>1</v>
      </c>
      <c r="G24" s="271">
        <v>1</v>
      </c>
      <c r="H24" s="271">
        <v>1</v>
      </c>
      <c r="I24" s="271">
        <v>1</v>
      </c>
      <c r="J24" s="271">
        <v>1</v>
      </c>
    </row>
    <row r="25" spans="1:10" x14ac:dyDescent="0.25">
      <c r="A25" s="270" t="s">
        <v>1282</v>
      </c>
      <c r="B25" s="271">
        <v>0</v>
      </c>
      <c r="C25" s="271">
        <v>0</v>
      </c>
      <c r="D25" s="271">
        <v>2</v>
      </c>
      <c r="E25" s="271">
        <v>2</v>
      </c>
      <c r="F25" s="271">
        <v>1</v>
      </c>
      <c r="G25" s="271">
        <v>1</v>
      </c>
      <c r="H25" s="271">
        <v>2</v>
      </c>
      <c r="I25" s="271">
        <v>2</v>
      </c>
      <c r="J25" s="271">
        <v>3</v>
      </c>
    </row>
    <row r="26" spans="1:10" x14ac:dyDescent="0.25">
      <c r="A26" s="270" t="s">
        <v>745</v>
      </c>
      <c r="B26" s="271">
        <v>0</v>
      </c>
      <c r="C26" s="271">
        <v>0</v>
      </c>
      <c r="D26" s="271">
        <v>1</v>
      </c>
      <c r="E26" s="271">
        <v>1</v>
      </c>
      <c r="F26" s="271">
        <v>1</v>
      </c>
      <c r="G26" s="271">
        <v>1</v>
      </c>
      <c r="H26" s="271">
        <v>1</v>
      </c>
      <c r="I26" s="271">
        <v>2</v>
      </c>
      <c r="J26" s="271">
        <v>2</v>
      </c>
    </row>
    <row r="27" spans="1:10" x14ac:dyDescent="0.25">
      <c r="A27" s="270" t="s">
        <v>469</v>
      </c>
      <c r="B27" s="271"/>
      <c r="C27" s="271">
        <v>0</v>
      </c>
      <c r="D27" s="271">
        <v>0</v>
      </c>
      <c r="E27" s="271">
        <v>1</v>
      </c>
      <c r="F27" s="271">
        <v>0</v>
      </c>
      <c r="G27" s="271">
        <v>0</v>
      </c>
      <c r="H27" s="271">
        <v>1</v>
      </c>
      <c r="I27" s="271">
        <v>0</v>
      </c>
      <c r="J27" s="271">
        <v>1</v>
      </c>
    </row>
    <row r="28" spans="1:10" x14ac:dyDescent="0.25">
      <c r="A28" s="270" t="s">
        <v>1283</v>
      </c>
      <c r="B28" s="271">
        <v>1</v>
      </c>
      <c r="C28" s="271">
        <v>1</v>
      </c>
      <c r="D28" s="271">
        <v>2</v>
      </c>
      <c r="E28" s="271">
        <v>2</v>
      </c>
      <c r="F28" s="271">
        <v>2</v>
      </c>
      <c r="G28" s="271">
        <v>2</v>
      </c>
      <c r="H28" s="271">
        <v>1</v>
      </c>
      <c r="I28" s="271">
        <v>1</v>
      </c>
      <c r="J28" s="271">
        <v>1</v>
      </c>
    </row>
    <row r="29" spans="1:10" x14ac:dyDescent="0.25">
      <c r="A29" s="270" t="s">
        <v>671</v>
      </c>
      <c r="B29" s="271">
        <v>0</v>
      </c>
      <c r="C29" s="271">
        <v>0</v>
      </c>
      <c r="D29" s="271">
        <v>0</v>
      </c>
      <c r="E29" s="271">
        <v>1</v>
      </c>
      <c r="F29" s="271">
        <v>1</v>
      </c>
      <c r="G29" s="271">
        <v>1</v>
      </c>
      <c r="H29" s="271">
        <v>1</v>
      </c>
      <c r="I29" s="271">
        <v>1</v>
      </c>
      <c r="J29" s="271">
        <v>1</v>
      </c>
    </row>
    <row r="30" spans="1:10" x14ac:dyDescent="0.25">
      <c r="A30" s="1080" t="s">
        <v>1065</v>
      </c>
      <c r="B30" s="271"/>
      <c r="C30" s="271"/>
      <c r="D30" s="271"/>
      <c r="E30" s="271">
        <v>0</v>
      </c>
      <c r="F30" s="271">
        <v>0</v>
      </c>
      <c r="G30" s="271">
        <v>0</v>
      </c>
      <c r="H30" s="271">
        <v>2</v>
      </c>
      <c r="I30" s="271">
        <v>2</v>
      </c>
      <c r="J30" s="271">
        <v>1</v>
      </c>
    </row>
    <row r="31" spans="1:10" x14ac:dyDescent="0.25">
      <c r="A31" s="1080" t="s">
        <v>1404</v>
      </c>
      <c r="B31" s="271"/>
      <c r="C31" s="271"/>
      <c r="D31" s="271"/>
      <c r="E31" s="271">
        <v>0</v>
      </c>
      <c r="F31" s="271">
        <v>0</v>
      </c>
      <c r="G31" s="271">
        <v>0</v>
      </c>
      <c r="H31" s="271">
        <v>1</v>
      </c>
      <c r="I31" s="271">
        <v>0</v>
      </c>
      <c r="J31" s="271">
        <v>0</v>
      </c>
    </row>
    <row r="32" spans="1:10" x14ac:dyDescent="0.25">
      <c r="A32" s="270" t="s">
        <v>1284</v>
      </c>
      <c r="B32" s="271">
        <v>6</v>
      </c>
      <c r="C32" s="271">
        <v>5</v>
      </c>
      <c r="D32" s="271">
        <v>8</v>
      </c>
      <c r="E32" s="271">
        <v>8</v>
      </c>
      <c r="F32" s="271">
        <v>10</v>
      </c>
      <c r="G32" s="271">
        <v>10</v>
      </c>
      <c r="H32" s="271">
        <v>11</v>
      </c>
      <c r="I32" s="271">
        <v>12</v>
      </c>
      <c r="J32" s="271">
        <v>13</v>
      </c>
    </row>
    <row r="33" spans="1:10" x14ac:dyDescent="0.25">
      <c r="A33" s="1080" t="s">
        <v>785</v>
      </c>
      <c r="B33" s="271"/>
      <c r="C33" s="271"/>
      <c r="D33" s="271"/>
      <c r="E33" s="271">
        <v>0</v>
      </c>
      <c r="F33" s="271">
        <v>0</v>
      </c>
      <c r="G33" s="271">
        <v>0</v>
      </c>
      <c r="H33" s="271">
        <v>1</v>
      </c>
      <c r="I33" s="271">
        <v>1</v>
      </c>
      <c r="J33" s="271">
        <v>1</v>
      </c>
    </row>
    <row r="34" spans="1:10" x14ac:dyDescent="0.25">
      <c r="A34" s="270" t="s">
        <v>1285</v>
      </c>
      <c r="B34" s="271">
        <v>2</v>
      </c>
      <c r="C34" s="271">
        <v>2</v>
      </c>
      <c r="D34" s="271">
        <v>4</v>
      </c>
      <c r="E34" s="271">
        <v>2</v>
      </c>
      <c r="F34" s="271">
        <v>2</v>
      </c>
      <c r="G34" s="271">
        <v>2</v>
      </c>
      <c r="H34" s="271">
        <v>2</v>
      </c>
      <c r="I34" s="271">
        <v>2</v>
      </c>
      <c r="J34" s="271">
        <v>3</v>
      </c>
    </row>
    <row r="35" spans="1:10" x14ac:dyDescent="0.25">
      <c r="A35" s="270" t="s">
        <v>746</v>
      </c>
      <c r="B35" s="271">
        <v>0</v>
      </c>
      <c r="C35" s="271">
        <v>0</v>
      </c>
      <c r="D35" s="271">
        <v>1</v>
      </c>
      <c r="E35" s="271">
        <v>0</v>
      </c>
      <c r="F35" s="271">
        <v>0</v>
      </c>
      <c r="G35" s="271">
        <v>0</v>
      </c>
      <c r="H35" s="271">
        <v>1</v>
      </c>
      <c r="I35" s="271">
        <v>1</v>
      </c>
      <c r="J35" s="271">
        <v>2</v>
      </c>
    </row>
    <row r="36" spans="1:10" x14ac:dyDescent="0.25">
      <c r="A36" s="270" t="s">
        <v>1286</v>
      </c>
      <c r="B36" s="271">
        <v>10</v>
      </c>
      <c r="C36" s="271">
        <v>10</v>
      </c>
      <c r="D36" s="271">
        <v>10</v>
      </c>
      <c r="E36" s="271">
        <v>10</v>
      </c>
      <c r="F36" s="271">
        <v>8</v>
      </c>
      <c r="G36" s="271">
        <v>8</v>
      </c>
      <c r="H36" s="271">
        <v>11</v>
      </c>
      <c r="I36" s="271">
        <v>19</v>
      </c>
      <c r="J36" s="271">
        <v>18</v>
      </c>
    </row>
    <row r="37" spans="1:10" x14ac:dyDescent="0.25">
      <c r="A37" s="270" t="s">
        <v>470</v>
      </c>
      <c r="B37" s="271"/>
      <c r="C37" s="271">
        <v>0</v>
      </c>
      <c r="D37" s="271">
        <v>0</v>
      </c>
      <c r="E37" s="271">
        <v>2</v>
      </c>
      <c r="F37" s="271">
        <v>3</v>
      </c>
      <c r="G37" s="271">
        <v>3</v>
      </c>
      <c r="H37" s="271">
        <v>1</v>
      </c>
      <c r="I37" s="271">
        <v>2</v>
      </c>
      <c r="J37" s="271">
        <v>1</v>
      </c>
    </row>
    <row r="38" spans="1:10" x14ac:dyDescent="0.25">
      <c r="A38" s="270" t="s">
        <v>1287</v>
      </c>
      <c r="B38" s="327"/>
      <c r="C38" s="755">
        <v>0</v>
      </c>
      <c r="D38" s="755">
        <v>0</v>
      </c>
      <c r="E38" s="755">
        <v>2</v>
      </c>
      <c r="F38" s="755">
        <v>2</v>
      </c>
      <c r="G38" s="755">
        <v>2</v>
      </c>
      <c r="H38" s="271">
        <v>2</v>
      </c>
      <c r="I38" s="755">
        <v>2</v>
      </c>
      <c r="J38" s="755">
        <v>2</v>
      </c>
    </row>
    <row r="39" spans="1:10" x14ac:dyDescent="0.25">
      <c r="A39" s="1080" t="s">
        <v>1289</v>
      </c>
      <c r="B39" s="327"/>
      <c r="C39" s="755"/>
      <c r="D39" s="755"/>
      <c r="E39" s="755">
        <v>0</v>
      </c>
      <c r="F39" s="755">
        <v>0</v>
      </c>
      <c r="G39" s="755">
        <v>0</v>
      </c>
      <c r="H39" s="271">
        <v>2</v>
      </c>
      <c r="I39" s="755">
        <v>2</v>
      </c>
      <c r="J39" s="755">
        <v>3</v>
      </c>
    </row>
    <row r="40" spans="1:10" x14ac:dyDescent="0.25">
      <c r="A40" s="270" t="s">
        <v>575</v>
      </c>
      <c r="B40" s="327">
        <v>9</v>
      </c>
      <c r="C40" s="755">
        <v>7</v>
      </c>
      <c r="D40" s="755">
        <v>10</v>
      </c>
      <c r="E40" s="755">
        <v>9</v>
      </c>
      <c r="F40" s="755">
        <v>7</v>
      </c>
      <c r="G40" s="755">
        <v>7</v>
      </c>
      <c r="H40" s="271">
        <v>7</v>
      </c>
      <c r="I40" s="755">
        <v>8</v>
      </c>
      <c r="J40" s="755">
        <v>7</v>
      </c>
    </row>
    <row r="41" spans="1:10" ht="12.75" customHeight="1" x14ac:dyDescent="0.3">
      <c r="A41" s="385"/>
      <c r="B41" s="406"/>
      <c r="C41" s="406"/>
      <c r="D41" s="406"/>
      <c r="E41" s="406"/>
      <c r="F41" s="406"/>
      <c r="G41" s="406"/>
      <c r="H41" s="406"/>
      <c r="I41" s="406"/>
      <c r="J41" s="406"/>
    </row>
    <row r="42" spans="1:10" x14ac:dyDescent="0.25">
      <c r="A42" s="269" t="s">
        <v>1290</v>
      </c>
      <c r="B42" s="271">
        <f>SUM(B7:B40)</f>
        <v>55</v>
      </c>
      <c r="C42" s="367">
        <f>SUM(C7:C40)</f>
        <v>59</v>
      </c>
      <c r="D42" s="367">
        <f>SUM(D7:D40)</f>
        <v>76</v>
      </c>
      <c r="E42" s="367">
        <f t="shared" ref="E42:J42" si="0">SUM(E5:E40)</f>
        <v>92</v>
      </c>
      <c r="F42" s="367">
        <f t="shared" si="0"/>
        <v>94</v>
      </c>
      <c r="G42" s="367">
        <f t="shared" si="0"/>
        <v>95</v>
      </c>
      <c r="H42" s="367">
        <f t="shared" si="0"/>
        <v>108</v>
      </c>
      <c r="I42" s="367">
        <f t="shared" si="0"/>
        <v>124</v>
      </c>
      <c r="J42" s="367">
        <f t="shared" si="0"/>
        <v>136</v>
      </c>
    </row>
    <row r="43" spans="1:10" x14ac:dyDescent="0.25">
      <c r="A43" s="270" t="s">
        <v>1291</v>
      </c>
      <c r="B43" s="271">
        <v>8250</v>
      </c>
      <c r="C43" s="271">
        <v>8462</v>
      </c>
      <c r="D43" s="271">
        <v>9148</v>
      </c>
      <c r="E43" s="271">
        <v>10316</v>
      </c>
      <c r="F43" s="271">
        <v>10551</v>
      </c>
      <c r="G43" s="271">
        <v>11459</v>
      </c>
      <c r="H43" s="271">
        <v>11570</v>
      </c>
      <c r="I43" s="271">
        <v>11641</v>
      </c>
      <c r="J43" s="271">
        <v>11995</v>
      </c>
    </row>
    <row r="44" spans="1:10" x14ac:dyDescent="0.25">
      <c r="A44" s="270" t="s">
        <v>576</v>
      </c>
      <c r="B44" s="271">
        <v>1637</v>
      </c>
      <c r="C44" s="271">
        <v>1639</v>
      </c>
      <c r="D44" s="271">
        <v>2001</v>
      </c>
      <c r="E44" s="271">
        <v>2083</v>
      </c>
      <c r="F44" s="271">
        <v>2068</v>
      </c>
      <c r="G44" s="271">
        <v>2374</v>
      </c>
      <c r="H44" s="271">
        <v>2360</v>
      </c>
      <c r="I44" s="271">
        <v>2330</v>
      </c>
      <c r="J44" s="271">
        <v>2349</v>
      </c>
    </row>
    <row r="45" spans="1:10" ht="12.75" customHeight="1" x14ac:dyDescent="0.3">
      <c r="A45" s="385"/>
      <c r="B45" s="385"/>
      <c r="C45" s="385"/>
      <c r="D45" s="385"/>
      <c r="E45" s="385"/>
      <c r="F45" s="385"/>
      <c r="G45" s="385"/>
      <c r="H45" s="385"/>
      <c r="I45" s="385"/>
      <c r="J45" s="385"/>
    </row>
    <row r="46" spans="1:10" x14ac:dyDescent="0.25">
      <c r="A46" s="272" t="s">
        <v>949</v>
      </c>
      <c r="B46" s="332">
        <f t="shared" ref="B46:G46" si="1">SUM(B42:B44)</f>
        <v>9942</v>
      </c>
      <c r="C46" s="332">
        <f t="shared" si="1"/>
        <v>10160</v>
      </c>
      <c r="D46" s="332">
        <f t="shared" si="1"/>
        <v>11225</v>
      </c>
      <c r="E46" s="332">
        <f t="shared" si="1"/>
        <v>12491</v>
      </c>
      <c r="F46" s="332">
        <f t="shared" si="1"/>
        <v>12713</v>
      </c>
      <c r="G46" s="332">
        <f t="shared" si="1"/>
        <v>13928</v>
      </c>
      <c r="H46" s="332">
        <f>SUM(H42:H44)</f>
        <v>14038</v>
      </c>
      <c r="I46" s="332">
        <f>SUM(I42:I44)</f>
        <v>14095</v>
      </c>
      <c r="J46" s="332">
        <f>SUM(J42:J44)</f>
        <v>14480</v>
      </c>
    </row>
  </sheetData>
  <mergeCells count="1">
    <mergeCell ref="A1:J1"/>
  </mergeCells>
  <phoneticPr fontId="15" type="noConversion"/>
  <printOptions horizontalCentered="1" verticalCentered="1"/>
  <pageMargins left="0.75" right="0.75" top="1" bottom="1" header="0.5" footer="0.5"/>
  <pageSetup orientation="portrait" r:id="rId1"/>
  <headerFooter alignWithMargins="0">
    <oddFooter>&amp;L&amp;8Source: Office of Alumni Affairs</oddFooter>
  </headerFooter>
  <webPublishItems count="1">
    <webPublishItem id="28342" divId="2001_2002 FACT BOOK FINAL COPY_28342" sourceType="sheet" destinationFile="C:\Documents and Settings\mkirkpatrick\My Documents\2004-2005 FACT BOOK\2004-2005 fact book WEB PAGES\04_05alumnibycountry.htm"/>
  </webPublishItem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pageSetUpPr fitToPage="1"/>
  </sheetPr>
  <dimension ref="A1:J60"/>
  <sheetViews>
    <sheetView workbookViewId="0">
      <selection sqref="A1:J1"/>
    </sheetView>
  </sheetViews>
  <sheetFormatPr defaultColWidth="6.6640625" defaultRowHeight="13.2" x14ac:dyDescent="0.25"/>
  <cols>
    <col min="1" max="1" width="20.6640625" style="248" customWidth="1"/>
    <col min="2" max="5" width="10.6640625" style="248" hidden="1" customWidth="1"/>
    <col min="6" max="10" width="10.6640625" style="248" customWidth="1"/>
    <col min="11" max="16384" width="6.6640625" style="248"/>
  </cols>
  <sheetData>
    <row r="1" spans="1:10" ht="60" customHeight="1" x14ac:dyDescent="0.25">
      <c r="A1" s="1793" t="s">
        <v>1305</v>
      </c>
      <c r="B1" s="1793"/>
      <c r="C1" s="1793"/>
      <c r="D1" s="1793"/>
      <c r="E1" s="1793"/>
      <c r="F1" s="1793"/>
      <c r="G1" s="1793"/>
      <c r="H1" s="1793"/>
      <c r="I1" s="1793"/>
      <c r="J1" s="1793"/>
    </row>
    <row r="2" spans="1:10" x14ac:dyDescent="0.25">
      <c r="A2" s="249"/>
      <c r="B2" s="249"/>
      <c r="C2" s="249"/>
      <c r="D2" s="249"/>
      <c r="E2" s="249"/>
      <c r="F2" s="249"/>
    </row>
    <row r="3" spans="1:10" x14ac:dyDescent="0.25">
      <c r="A3" s="325" t="s">
        <v>1167</v>
      </c>
      <c r="B3" s="250">
        <v>2000</v>
      </c>
      <c r="C3" s="250">
        <v>2001</v>
      </c>
      <c r="D3" s="250">
        <v>2002</v>
      </c>
      <c r="E3" s="250">
        <v>2007</v>
      </c>
      <c r="F3" s="250">
        <f>+E3+1</f>
        <v>2008</v>
      </c>
      <c r="G3" s="250">
        <f>+F3+1</f>
        <v>2009</v>
      </c>
      <c r="H3" s="250">
        <f>+G3+1</f>
        <v>2010</v>
      </c>
      <c r="I3" s="250">
        <f>+H3+1</f>
        <v>2011</v>
      </c>
      <c r="J3" s="250">
        <v>2012</v>
      </c>
    </row>
    <row r="4" spans="1:10" ht="12.75" customHeight="1" x14ac:dyDescent="0.3">
      <c r="A4" s="385"/>
      <c r="B4" s="385"/>
      <c r="C4" s="385"/>
      <c r="D4" s="385"/>
      <c r="E4" s="385"/>
      <c r="F4" s="385"/>
      <c r="G4" s="385"/>
      <c r="H4" s="385"/>
      <c r="I4" s="385"/>
      <c r="J4" s="385"/>
    </row>
    <row r="5" spans="1:10" x14ac:dyDescent="0.25">
      <c r="A5" s="251" t="s">
        <v>1168</v>
      </c>
      <c r="B5" s="252">
        <v>60</v>
      </c>
      <c r="C5" s="252">
        <v>59</v>
      </c>
      <c r="D5" s="252">
        <v>63</v>
      </c>
      <c r="E5" s="252">
        <v>58</v>
      </c>
      <c r="F5" s="252">
        <v>58</v>
      </c>
      <c r="G5" s="252">
        <v>67</v>
      </c>
      <c r="H5" s="252">
        <v>69</v>
      </c>
      <c r="I5" s="252">
        <v>71</v>
      </c>
      <c r="J5" s="252">
        <v>72</v>
      </c>
    </row>
    <row r="6" spans="1:10" x14ac:dyDescent="0.25">
      <c r="A6" s="251" t="s">
        <v>562</v>
      </c>
      <c r="B6" s="252">
        <v>2</v>
      </c>
      <c r="C6" s="252">
        <v>2</v>
      </c>
      <c r="D6" s="252">
        <v>3</v>
      </c>
      <c r="E6" s="252">
        <v>3</v>
      </c>
      <c r="F6" s="252">
        <v>2</v>
      </c>
      <c r="G6" s="252">
        <v>2</v>
      </c>
      <c r="H6" s="252">
        <v>3</v>
      </c>
      <c r="I6" s="252">
        <v>1</v>
      </c>
      <c r="J6" s="252">
        <v>1</v>
      </c>
    </row>
    <row r="7" spans="1:10" x14ac:dyDescent="0.25">
      <c r="A7" s="251" t="s">
        <v>1169</v>
      </c>
      <c r="B7" s="252">
        <v>12</v>
      </c>
      <c r="C7" s="252">
        <v>11</v>
      </c>
      <c r="D7" s="252">
        <v>15</v>
      </c>
      <c r="E7" s="252">
        <v>19</v>
      </c>
      <c r="F7" s="252">
        <v>18</v>
      </c>
      <c r="G7" s="252">
        <v>18</v>
      </c>
      <c r="H7" s="252">
        <v>20</v>
      </c>
      <c r="I7" s="252">
        <v>18</v>
      </c>
      <c r="J7" s="252">
        <v>18</v>
      </c>
    </row>
    <row r="8" spans="1:10" x14ac:dyDescent="0.25">
      <c r="A8" s="251" t="s">
        <v>1170</v>
      </c>
      <c r="B8" s="252">
        <v>5</v>
      </c>
      <c r="C8" s="252">
        <v>4</v>
      </c>
      <c r="D8" s="252">
        <v>4</v>
      </c>
      <c r="E8" s="252">
        <v>8</v>
      </c>
      <c r="F8" s="252">
        <v>8</v>
      </c>
      <c r="G8" s="252">
        <v>8</v>
      </c>
      <c r="H8" s="252">
        <v>9</v>
      </c>
      <c r="I8" s="252">
        <v>10</v>
      </c>
      <c r="J8" s="252">
        <v>11</v>
      </c>
    </row>
    <row r="9" spans="1:10" x14ac:dyDescent="0.25">
      <c r="A9" s="251" t="s">
        <v>1171</v>
      </c>
      <c r="B9" s="252">
        <v>39</v>
      </c>
      <c r="C9" s="252">
        <v>35</v>
      </c>
      <c r="D9" s="252">
        <v>45</v>
      </c>
      <c r="E9" s="252">
        <v>49</v>
      </c>
      <c r="F9" s="252">
        <v>45</v>
      </c>
      <c r="G9" s="252">
        <v>48</v>
      </c>
      <c r="H9" s="252">
        <v>54</v>
      </c>
      <c r="I9" s="252">
        <v>57</v>
      </c>
      <c r="J9" s="252">
        <v>57</v>
      </c>
    </row>
    <row r="10" spans="1:10" x14ac:dyDescent="0.25">
      <c r="A10" s="251" t="s">
        <v>1172</v>
      </c>
      <c r="B10" s="252">
        <v>9</v>
      </c>
      <c r="C10" s="252">
        <v>10</v>
      </c>
      <c r="D10" s="252">
        <v>16</v>
      </c>
      <c r="E10" s="252">
        <v>21</v>
      </c>
      <c r="F10" s="252">
        <v>22</v>
      </c>
      <c r="G10" s="252">
        <v>22</v>
      </c>
      <c r="H10" s="252">
        <v>23</v>
      </c>
      <c r="I10" s="252">
        <v>23</v>
      </c>
      <c r="J10" s="252">
        <v>24</v>
      </c>
    </row>
    <row r="11" spans="1:10" x14ac:dyDescent="0.25">
      <c r="A11" s="251" t="s">
        <v>1173</v>
      </c>
      <c r="B11" s="252">
        <v>3</v>
      </c>
      <c r="C11" s="252">
        <v>3</v>
      </c>
      <c r="D11" s="252">
        <v>6</v>
      </c>
      <c r="E11" s="252">
        <v>7</v>
      </c>
      <c r="F11" s="252">
        <v>8</v>
      </c>
      <c r="G11" s="252">
        <v>8</v>
      </c>
      <c r="H11" s="252">
        <v>8</v>
      </c>
      <c r="I11" s="252">
        <v>5</v>
      </c>
      <c r="J11" s="252">
        <v>4</v>
      </c>
    </row>
    <row r="12" spans="1:10" x14ac:dyDescent="0.25">
      <c r="A12" s="253" t="s">
        <v>563</v>
      </c>
      <c r="B12" s="252">
        <v>1</v>
      </c>
      <c r="C12" s="252">
        <v>0</v>
      </c>
      <c r="D12" s="252">
        <v>1</v>
      </c>
      <c r="E12" s="252">
        <v>2</v>
      </c>
      <c r="F12" s="252">
        <v>2</v>
      </c>
      <c r="G12" s="252">
        <v>2</v>
      </c>
      <c r="H12" s="252">
        <v>0</v>
      </c>
      <c r="I12" s="252">
        <v>0</v>
      </c>
      <c r="J12" s="252">
        <v>0</v>
      </c>
    </row>
    <row r="13" spans="1:10" x14ac:dyDescent="0.25">
      <c r="A13" s="251" t="s">
        <v>1174</v>
      </c>
      <c r="B13" s="252">
        <v>0</v>
      </c>
      <c r="C13" s="252">
        <v>1</v>
      </c>
      <c r="D13" s="252">
        <v>2</v>
      </c>
      <c r="E13" s="252">
        <v>2</v>
      </c>
      <c r="F13" s="252">
        <v>4</v>
      </c>
      <c r="G13" s="252">
        <v>5</v>
      </c>
      <c r="H13" s="252">
        <v>4</v>
      </c>
      <c r="I13" s="252">
        <v>4</v>
      </c>
      <c r="J13" s="252">
        <v>4</v>
      </c>
    </row>
    <row r="14" spans="1:10" x14ac:dyDescent="0.25">
      <c r="A14" s="251" t="s">
        <v>1175</v>
      </c>
      <c r="B14" s="252">
        <v>190</v>
      </c>
      <c r="C14" s="252">
        <v>181</v>
      </c>
      <c r="D14" s="252">
        <v>208</v>
      </c>
      <c r="E14" s="252">
        <v>233</v>
      </c>
      <c r="F14" s="252">
        <v>227</v>
      </c>
      <c r="G14" s="252">
        <v>266</v>
      </c>
      <c r="H14" s="252">
        <v>258</v>
      </c>
      <c r="I14" s="1173">
        <v>256</v>
      </c>
      <c r="J14" s="1173">
        <v>257</v>
      </c>
    </row>
    <row r="15" spans="1:10" x14ac:dyDescent="0.25">
      <c r="A15" s="251" t="s">
        <v>1176</v>
      </c>
      <c r="B15" s="252">
        <v>468</v>
      </c>
      <c r="C15" s="252">
        <v>466</v>
      </c>
      <c r="D15" s="252">
        <v>527</v>
      </c>
      <c r="E15" s="252">
        <v>555</v>
      </c>
      <c r="F15" s="252">
        <v>548</v>
      </c>
      <c r="G15" s="252">
        <v>645</v>
      </c>
      <c r="H15" s="252">
        <v>620</v>
      </c>
      <c r="I15" s="252">
        <v>609</v>
      </c>
      <c r="J15" s="252">
        <v>612</v>
      </c>
    </row>
    <row r="16" spans="1:10" x14ac:dyDescent="0.25">
      <c r="A16" s="251" t="s">
        <v>564</v>
      </c>
      <c r="B16" s="252">
        <v>4</v>
      </c>
      <c r="C16" s="252">
        <v>6</v>
      </c>
      <c r="D16" s="252">
        <v>10</v>
      </c>
      <c r="E16" s="252">
        <v>7</v>
      </c>
      <c r="F16" s="252">
        <v>6</v>
      </c>
      <c r="G16" s="252">
        <v>6</v>
      </c>
      <c r="H16" s="252">
        <v>10</v>
      </c>
      <c r="I16" s="252">
        <v>8</v>
      </c>
      <c r="J16" s="252">
        <v>8</v>
      </c>
    </row>
    <row r="17" spans="1:10" x14ac:dyDescent="0.25">
      <c r="A17" s="251" t="s">
        <v>1177</v>
      </c>
      <c r="B17" s="252">
        <v>1</v>
      </c>
      <c r="C17" s="252">
        <v>1</v>
      </c>
      <c r="D17" s="252">
        <v>5</v>
      </c>
      <c r="E17" s="252">
        <v>4</v>
      </c>
      <c r="F17" s="252">
        <v>3</v>
      </c>
      <c r="G17" s="252">
        <v>3</v>
      </c>
      <c r="H17" s="252">
        <v>4</v>
      </c>
      <c r="I17" s="252">
        <v>2</v>
      </c>
      <c r="J17" s="252">
        <v>2</v>
      </c>
    </row>
    <row r="18" spans="1:10" x14ac:dyDescent="0.25">
      <c r="A18" s="251" t="s">
        <v>1178</v>
      </c>
      <c r="B18" s="252">
        <v>18</v>
      </c>
      <c r="C18" s="252">
        <v>16</v>
      </c>
      <c r="D18" s="252">
        <v>22</v>
      </c>
      <c r="E18" s="252">
        <v>28</v>
      </c>
      <c r="F18" s="252">
        <v>29</v>
      </c>
      <c r="G18" s="252">
        <v>29</v>
      </c>
      <c r="H18" s="252">
        <v>33</v>
      </c>
      <c r="I18" s="252">
        <v>34</v>
      </c>
      <c r="J18" s="252">
        <v>34</v>
      </c>
    </row>
    <row r="19" spans="1:10" x14ac:dyDescent="0.25">
      <c r="A19" s="251" t="s">
        <v>1179</v>
      </c>
      <c r="B19" s="252">
        <v>8</v>
      </c>
      <c r="C19" s="252">
        <v>11</v>
      </c>
      <c r="D19" s="252">
        <v>12</v>
      </c>
      <c r="E19" s="252">
        <v>15</v>
      </c>
      <c r="F19" s="252">
        <v>13</v>
      </c>
      <c r="G19" s="252">
        <v>13</v>
      </c>
      <c r="H19" s="252">
        <v>14</v>
      </c>
      <c r="I19" s="252">
        <v>14</v>
      </c>
      <c r="J19" s="252">
        <v>14</v>
      </c>
    </row>
    <row r="20" spans="1:10" x14ac:dyDescent="0.25">
      <c r="A20" s="251" t="s">
        <v>565</v>
      </c>
      <c r="B20" s="252">
        <v>5</v>
      </c>
      <c r="C20" s="252">
        <v>5</v>
      </c>
      <c r="D20" s="252">
        <v>3</v>
      </c>
      <c r="E20" s="252">
        <v>5</v>
      </c>
      <c r="F20" s="252">
        <v>5</v>
      </c>
      <c r="G20" s="252">
        <v>5</v>
      </c>
      <c r="H20" s="252">
        <v>9</v>
      </c>
      <c r="I20" s="252">
        <v>6</v>
      </c>
      <c r="J20" s="252">
        <v>6</v>
      </c>
    </row>
    <row r="21" spans="1:10" x14ac:dyDescent="0.25">
      <c r="A21" s="251" t="s">
        <v>1180</v>
      </c>
      <c r="B21" s="252">
        <v>5</v>
      </c>
      <c r="C21" s="252">
        <v>6</v>
      </c>
      <c r="D21" s="252">
        <v>7</v>
      </c>
      <c r="E21" s="252">
        <v>9</v>
      </c>
      <c r="F21" s="252">
        <v>8</v>
      </c>
      <c r="G21" s="252">
        <v>8</v>
      </c>
      <c r="H21" s="252">
        <v>9</v>
      </c>
      <c r="I21" s="252">
        <v>9</v>
      </c>
      <c r="J21" s="252">
        <v>8</v>
      </c>
    </row>
    <row r="22" spans="1:10" x14ac:dyDescent="0.25">
      <c r="A22" s="251" t="s">
        <v>1181</v>
      </c>
      <c r="B22" s="252">
        <v>16</v>
      </c>
      <c r="C22" s="252">
        <v>15</v>
      </c>
      <c r="D22" s="252">
        <v>19</v>
      </c>
      <c r="E22" s="252">
        <v>16</v>
      </c>
      <c r="F22" s="252">
        <v>17</v>
      </c>
      <c r="G22" s="252">
        <v>17</v>
      </c>
      <c r="H22" s="252">
        <v>26</v>
      </c>
      <c r="I22" s="252">
        <v>25</v>
      </c>
      <c r="J22" s="252">
        <v>25</v>
      </c>
    </row>
    <row r="23" spans="1:10" x14ac:dyDescent="0.25">
      <c r="A23" s="251" t="s">
        <v>1182</v>
      </c>
      <c r="B23" s="252">
        <v>13</v>
      </c>
      <c r="C23" s="252">
        <v>14</v>
      </c>
      <c r="D23" s="252">
        <v>18</v>
      </c>
      <c r="E23" s="252">
        <v>18</v>
      </c>
      <c r="F23" s="252">
        <v>19</v>
      </c>
      <c r="G23" s="252">
        <v>26</v>
      </c>
      <c r="H23" s="252">
        <v>30</v>
      </c>
      <c r="I23" s="252">
        <v>26</v>
      </c>
      <c r="J23" s="252">
        <v>25</v>
      </c>
    </row>
    <row r="24" spans="1:10" x14ac:dyDescent="0.25">
      <c r="A24" s="251" t="s">
        <v>1183</v>
      </c>
      <c r="B24" s="252">
        <v>0</v>
      </c>
      <c r="C24" s="252">
        <v>1</v>
      </c>
      <c r="D24" s="252">
        <v>1</v>
      </c>
      <c r="E24" s="252">
        <v>1</v>
      </c>
      <c r="F24" s="252">
        <v>1</v>
      </c>
      <c r="G24" s="252">
        <v>1</v>
      </c>
      <c r="H24" s="252">
        <v>1</v>
      </c>
      <c r="I24" s="252">
        <v>1</v>
      </c>
      <c r="J24" s="252">
        <v>1</v>
      </c>
    </row>
    <row r="25" spans="1:10" x14ac:dyDescent="0.25">
      <c r="A25" s="251" t="s">
        <v>1184</v>
      </c>
      <c r="B25" s="252">
        <v>22</v>
      </c>
      <c r="C25" s="252">
        <v>22</v>
      </c>
      <c r="D25" s="252">
        <v>23</v>
      </c>
      <c r="E25" s="252">
        <v>26</v>
      </c>
      <c r="F25" s="252">
        <v>26</v>
      </c>
      <c r="G25" s="252">
        <v>32</v>
      </c>
      <c r="H25" s="252">
        <v>30</v>
      </c>
      <c r="I25" s="252">
        <v>30</v>
      </c>
      <c r="J25" s="252">
        <v>31</v>
      </c>
    </row>
    <row r="26" spans="1:10" x14ac:dyDescent="0.25">
      <c r="A26" s="251" t="s">
        <v>1185</v>
      </c>
      <c r="B26" s="252">
        <v>10</v>
      </c>
      <c r="C26" s="252">
        <v>9</v>
      </c>
      <c r="D26" s="252">
        <v>12</v>
      </c>
      <c r="E26" s="252">
        <v>6</v>
      </c>
      <c r="F26" s="252">
        <v>5</v>
      </c>
      <c r="G26" s="252">
        <v>8</v>
      </c>
      <c r="H26" s="252">
        <v>9</v>
      </c>
      <c r="I26" s="252">
        <v>10</v>
      </c>
      <c r="J26" s="252">
        <v>9</v>
      </c>
    </row>
    <row r="27" spans="1:10" x14ac:dyDescent="0.25">
      <c r="A27" s="251" t="s">
        <v>1186</v>
      </c>
      <c r="B27" s="252">
        <v>6</v>
      </c>
      <c r="C27" s="252">
        <v>10</v>
      </c>
      <c r="D27" s="252">
        <v>8</v>
      </c>
      <c r="E27" s="252">
        <v>7</v>
      </c>
      <c r="F27" s="252">
        <v>9</v>
      </c>
      <c r="G27" s="252">
        <v>9</v>
      </c>
      <c r="H27" s="252">
        <v>12</v>
      </c>
      <c r="I27" s="252">
        <v>11</v>
      </c>
      <c r="J27" s="252">
        <v>12</v>
      </c>
    </row>
    <row r="28" spans="1:10" x14ac:dyDescent="0.25">
      <c r="A28" s="251" t="s">
        <v>1187</v>
      </c>
      <c r="B28" s="252">
        <v>5</v>
      </c>
      <c r="C28" s="252">
        <v>8</v>
      </c>
      <c r="D28" s="252">
        <v>10</v>
      </c>
      <c r="E28" s="252">
        <v>7</v>
      </c>
      <c r="F28" s="252">
        <v>6</v>
      </c>
      <c r="G28" s="252">
        <v>6</v>
      </c>
      <c r="H28" s="252">
        <v>8</v>
      </c>
      <c r="I28" s="252">
        <v>8</v>
      </c>
      <c r="J28" s="252">
        <v>7</v>
      </c>
    </row>
    <row r="29" spans="1:10" x14ac:dyDescent="0.25">
      <c r="A29" s="251" t="s">
        <v>1188</v>
      </c>
      <c r="B29" s="405">
        <v>8</v>
      </c>
      <c r="C29" s="405">
        <v>11</v>
      </c>
      <c r="D29" s="405">
        <v>17</v>
      </c>
      <c r="E29" s="405">
        <v>12</v>
      </c>
      <c r="F29" s="405">
        <v>12</v>
      </c>
      <c r="G29" s="405">
        <v>15</v>
      </c>
      <c r="H29" s="405">
        <v>15</v>
      </c>
      <c r="I29" s="405">
        <v>17</v>
      </c>
      <c r="J29" s="405">
        <v>16</v>
      </c>
    </row>
    <row r="30" spans="1:10" x14ac:dyDescent="0.25">
      <c r="A30" s="251" t="s">
        <v>1189</v>
      </c>
      <c r="B30" s="407">
        <v>8</v>
      </c>
      <c r="C30" s="407">
        <v>9</v>
      </c>
      <c r="D30" s="407">
        <v>13</v>
      </c>
      <c r="E30" s="407">
        <v>22</v>
      </c>
      <c r="F30" s="407">
        <v>22</v>
      </c>
      <c r="G30" s="407">
        <v>22</v>
      </c>
      <c r="H30" s="407">
        <v>17</v>
      </c>
      <c r="I30" s="407">
        <v>17</v>
      </c>
      <c r="J30" s="407">
        <v>17</v>
      </c>
    </row>
    <row r="31" spans="1:10" x14ac:dyDescent="0.25">
      <c r="A31" s="251" t="s">
        <v>1190</v>
      </c>
      <c r="B31" s="252">
        <v>1</v>
      </c>
      <c r="C31" s="252">
        <v>1</v>
      </c>
      <c r="D31" s="252">
        <v>0</v>
      </c>
      <c r="E31" s="252">
        <v>2</v>
      </c>
      <c r="F31" s="252">
        <v>2</v>
      </c>
      <c r="G31" s="252">
        <v>2</v>
      </c>
      <c r="H31" s="252">
        <v>2</v>
      </c>
      <c r="I31" s="252">
        <v>3</v>
      </c>
      <c r="J31" s="252">
        <v>3</v>
      </c>
    </row>
    <row r="32" spans="1:10" x14ac:dyDescent="0.25">
      <c r="A32" s="251" t="s">
        <v>566</v>
      </c>
      <c r="B32" s="252">
        <v>3</v>
      </c>
      <c r="C32" s="252">
        <v>3</v>
      </c>
      <c r="D32" s="252">
        <v>3</v>
      </c>
      <c r="E32" s="252">
        <v>3</v>
      </c>
      <c r="F32" s="252">
        <v>3</v>
      </c>
      <c r="G32" s="252">
        <v>3</v>
      </c>
      <c r="H32" s="252">
        <v>5</v>
      </c>
      <c r="I32" s="252">
        <v>6</v>
      </c>
      <c r="J32" s="252">
        <v>6</v>
      </c>
    </row>
    <row r="33" spans="1:10" x14ac:dyDescent="0.25">
      <c r="A33" s="251" t="s">
        <v>567</v>
      </c>
      <c r="B33" s="252">
        <v>2</v>
      </c>
      <c r="C33" s="252">
        <v>3</v>
      </c>
      <c r="D33" s="252">
        <v>3</v>
      </c>
      <c r="E33" s="252">
        <v>3</v>
      </c>
      <c r="F33" s="252">
        <v>3</v>
      </c>
      <c r="G33" s="252">
        <v>5</v>
      </c>
      <c r="H33" s="252">
        <v>5</v>
      </c>
      <c r="I33" s="252">
        <v>6</v>
      </c>
      <c r="J33" s="252">
        <v>6</v>
      </c>
    </row>
    <row r="34" spans="1:10" x14ac:dyDescent="0.25">
      <c r="A34" s="251" t="s">
        <v>1191</v>
      </c>
      <c r="B34" s="252">
        <v>3</v>
      </c>
      <c r="C34" s="252">
        <v>3</v>
      </c>
      <c r="D34" s="252">
        <v>5</v>
      </c>
      <c r="E34" s="252">
        <v>4</v>
      </c>
      <c r="F34" s="252">
        <v>4</v>
      </c>
      <c r="G34" s="252">
        <v>4</v>
      </c>
      <c r="H34" s="252">
        <v>3</v>
      </c>
      <c r="I34" s="252">
        <v>3</v>
      </c>
      <c r="J34" s="252">
        <v>4</v>
      </c>
    </row>
    <row r="35" spans="1:10" x14ac:dyDescent="0.25">
      <c r="A35" s="251" t="s">
        <v>1192</v>
      </c>
      <c r="B35" s="252">
        <v>14</v>
      </c>
      <c r="C35" s="252">
        <v>12</v>
      </c>
      <c r="D35" s="252">
        <v>19</v>
      </c>
      <c r="E35" s="252">
        <v>22</v>
      </c>
      <c r="F35" s="252">
        <v>28</v>
      </c>
      <c r="G35" s="252">
        <v>28</v>
      </c>
      <c r="H35" s="252">
        <v>25</v>
      </c>
      <c r="I35" s="252">
        <v>23</v>
      </c>
      <c r="J35" s="252">
        <v>24</v>
      </c>
    </row>
    <row r="36" spans="1:10" x14ac:dyDescent="0.25">
      <c r="A36" s="251" t="s">
        <v>568</v>
      </c>
      <c r="B36" s="252">
        <v>4</v>
      </c>
      <c r="C36" s="252">
        <v>4</v>
      </c>
      <c r="D36" s="252">
        <v>4</v>
      </c>
      <c r="E36" s="252">
        <v>5</v>
      </c>
      <c r="F36" s="252">
        <v>5</v>
      </c>
      <c r="G36" s="252">
        <v>10</v>
      </c>
      <c r="H36" s="252">
        <v>9</v>
      </c>
      <c r="I36" s="252">
        <v>8</v>
      </c>
      <c r="J36" s="252">
        <v>7</v>
      </c>
    </row>
    <row r="37" spans="1:10" x14ac:dyDescent="0.25">
      <c r="A37" s="251" t="s">
        <v>1193</v>
      </c>
      <c r="B37" s="252">
        <v>16</v>
      </c>
      <c r="C37" s="252">
        <v>19</v>
      </c>
      <c r="D37" s="252">
        <v>31</v>
      </c>
      <c r="E37" s="252">
        <v>34</v>
      </c>
      <c r="F37" s="252">
        <v>36</v>
      </c>
      <c r="G37" s="252">
        <v>44</v>
      </c>
      <c r="H37" s="252">
        <v>45</v>
      </c>
      <c r="I37" s="252">
        <v>46</v>
      </c>
      <c r="J37" s="252">
        <v>47</v>
      </c>
    </row>
    <row r="38" spans="1:10" x14ac:dyDescent="0.25">
      <c r="A38" s="251" t="s">
        <v>1194</v>
      </c>
      <c r="B38" s="252">
        <v>377</v>
      </c>
      <c r="C38" s="252">
        <v>380</v>
      </c>
      <c r="D38" s="252">
        <v>484</v>
      </c>
      <c r="E38" s="252">
        <v>481</v>
      </c>
      <c r="F38" s="252">
        <v>470</v>
      </c>
      <c r="G38" s="252">
        <v>522</v>
      </c>
      <c r="H38" s="252">
        <v>503</v>
      </c>
      <c r="I38" s="252">
        <v>507</v>
      </c>
      <c r="J38" s="252">
        <v>508</v>
      </c>
    </row>
    <row r="39" spans="1:10" x14ac:dyDescent="0.25">
      <c r="A39" s="1003" t="s">
        <v>1410</v>
      </c>
      <c r="B39" s="252"/>
      <c r="C39" s="252"/>
      <c r="D39" s="252"/>
      <c r="E39" s="252">
        <v>0</v>
      </c>
      <c r="F39" s="252">
        <v>0</v>
      </c>
      <c r="G39" s="252">
        <v>0</v>
      </c>
      <c r="H39" s="252">
        <v>0</v>
      </c>
      <c r="I39" s="252">
        <v>1</v>
      </c>
      <c r="J39" s="252">
        <v>1</v>
      </c>
    </row>
    <row r="40" spans="1:10" x14ac:dyDescent="0.25">
      <c r="A40" s="251" t="s">
        <v>1195</v>
      </c>
      <c r="B40" s="252">
        <v>42</v>
      </c>
      <c r="C40" s="252">
        <v>39</v>
      </c>
      <c r="D40" s="252">
        <v>46</v>
      </c>
      <c r="E40" s="252">
        <v>41</v>
      </c>
      <c r="F40" s="252">
        <v>41</v>
      </c>
      <c r="G40" s="252">
        <v>42</v>
      </c>
      <c r="H40" s="252">
        <v>40</v>
      </c>
      <c r="I40" s="252">
        <v>37</v>
      </c>
      <c r="J40" s="252">
        <v>37</v>
      </c>
    </row>
    <row r="41" spans="1:10" x14ac:dyDescent="0.25">
      <c r="A41" s="251" t="s">
        <v>1196</v>
      </c>
      <c r="B41" s="252">
        <v>3</v>
      </c>
      <c r="C41" s="252">
        <v>3</v>
      </c>
      <c r="D41" s="252">
        <v>3</v>
      </c>
      <c r="E41" s="252">
        <v>5</v>
      </c>
      <c r="F41" s="252">
        <v>5</v>
      </c>
      <c r="G41" s="252">
        <v>5</v>
      </c>
      <c r="H41" s="252">
        <v>5</v>
      </c>
      <c r="I41" s="252">
        <v>4</v>
      </c>
      <c r="J41" s="252">
        <v>4</v>
      </c>
    </row>
    <row r="42" spans="1:10" x14ac:dyDescent="0.25">
      <c r="A42" s="251" t="s">
        <v>1197</v>
      </c>
      <c r="B42" s="252">
        <v>5</v>
      </c>
      <c r="C42" s="252">
        <v>5</v>
      </c>
      <c r="D42" s="252">
        <v>8</v>
      </c>
      <c r="E42" s="252">
        <v>5</v>
      </c>
      <c r="F42" s="252">
        <v>5</v>
      </c>
      <c r="G42" s="252">
        <v>5</v>
      </c>
      <c r="H42" s="252">
        <v>5</v>
      </c>
      <c r="I42" s="252">
        <v>4</v>
      </c>
      <c r="J42" s="252">
        <v>5</v>
      </c>
    </row>
    <row r="43" spans="1:10" x14ac:dyDescent="0.25">
      <c r="A43" s="253" t="s">
        <v>1198</v>
      </c>
      <c r="B43" s="252">
        <v>19</v>
      </c>
      <c r="C43" s="252">
        <v>23</v>
      </c>
      <c r="D43" s="252">
        <v>31</v>
      </c>
      <c r="E43" s="252">
        <v>26</v>
      </c>
      <c r="F43" s="252">
        <v>26</v>
      </c>
      <c r="G43" s="252">
        <v>28</v>
      </c>
      <c r="H43" s="252">
        <v>24</v>
      </c>
      <c r="I43" s="252">
        <v>23</v>
      </c>
      <c r="J43" s="252">
        <v>24</v>
      </c>
    </row>
    <row r="44" spans="1:10" x14ac:dyDescent="0.25">
      <c r="A44" s="251" t="s">
        <v>1199</v>
      </c>
      <c r="B44" s="252">
        <v>2</v>
      </c>
      <c r="C44" s="252">
        <v>2</v>
      </c>
      <c r="D44" s="252">
        <v>2</v>
      </c>
      <c r="E44" s="252">
        <v>3</v>
      </c>
      <c r="F44" s="252">
        <v>4</v>
      </c>
      <c r="G44" s="252">
        <v>4</v>
      </c>
      <c r="H44" s="252">
        <v>4</v>
      </c>
      <c r="I44" s="252">
        <v>3</v>
      </c>
      <c r="J44" s="252">
        <v>3</v>
      </c>
    </row>
    <row r="45" spans="1:10" x14ac:dyDescent="0.25">
      <c r="A45" s="255" t="s">
        <v>1200</v>
      </c>
      <c r="B45" s="256">
        <v>8250</v>
      </c>
      <c r="C45" s="256">
        <v>8462</v>
      </c>
      <c r="D45" s="256">
        <v>9148</v>
      </c>
      <c r="E45" s="256">
        <v>10316</v>
      </c>
      <c r="F45" s="256">
        <v>10551</v>
      </c>
      <c r="G45" s="256">
        <v>11459</v>
      </c>
      <c r="H45" s="256">
        <v>11570</v>
      </c>
      <c r="I45" s="256">
        <v>11641</v>
      </c>
      <c r="J45" s="256">
        <v>11995</v>
      </c>
    </row>
    <row r="46" spans="1:10" x14ac:dyDescent="0.25">
      <c r="A46" s="251" t="s">
        <v>569</v>
      </c>
      <c r="B46" s="252">
        <v>1</v>
      </c>
      <c r="C46" s="252">
        <v>0</v>
      </c>
      <c r="D46" s="252">
        <v>0</v>
      </c>
      <c r="E46" s="252">
        <v>3</v>
      </c>
      <c r="F46" s="252">
        <v>3</v>
      </c>
      <c r="G46" s="252">
        <v>3</v>
      </c>
      <c r="H46" s="252">
        <v>2</v>
      </c>
      <c r="I46" s="252">
        <v>2</v>
      </c>
      <c r="J46" s="252">
        <v>2</v>
      </c>
    </row>
    <row r="47" spans="1:10" x14ac:dyDescent="0.25">
      <c r="A47" s="251" t="s">
        <v>1201</v>
      </c>
      <c r="B47" s="252">
        <v>60</v>
      </c>
      <c r="C47" s="252">
        <v>61</v>
      </c>
      <c r="D47" s="252">
        <v>67</v>
      </c>
      <c r="E47" s="252">
        <v>71</v>
      </c>
      <c r="F47" s="252">
        <v>72</v>
      </c>
      <c r="G47" s="252">
        <v>89</v>
      </c>
      <c r="H47" s="252">
        <v>93</v>
      </c>
      <c r="I47" s="252">
        <v>92</v>
      </c>
      <c r="J47" s="252">
        <v>96</v>
      </c>
    </row>
    <row r="48" spans="1:10" x14ac:dyDescent="0.25">
      <c r="A48" s="251" t="s">
        <v>1202</v>
      </c>
      <c r="B48" s="252">
        <v>62</v>
      </c>
      <c r="C48" s="252">
        <v>64</v>
      </c>
      <c r="D48" s="252">
        <v>93</v>
      </c>
      <c r="E48" s="252">
        <v>96</v>
      </c>
      <c r="F48" s="252">
        <v>89</v>
      </c>
      <c r="G48" s="252">
        <v>114</v>
      </c>
      <c r="H48" s="252">
        <v>115</v>
      </c>
      <c r="I48" s="252">
        <v>117</v>
      </c>
      <c r="J48" s="252">
        <v>121</v>
      </c>
    </row>
    <row r="49" spans="1:10" x14ac:dyDescent="0.25">
      <c r="A49" s="251" t="s">
        <v>570</v>
      </c>
      <c r="B49" s="252">
        <v>1</v>
      </c>
      <c r="C49" s="252">
        <v>1</v>
      </c>
      <c r="D49" s="252">
        <v>2</v>
      </c>
      <c r="E49" s="252">
        <v>1</v>
      </c>
      <c r="F49" s="252">
        <v>1</v>
      </c>
      <c r="G49" s="252">
        <v>4</v>
      </c>
      <c r="H49" s="252">
        <v>4</v>
      </c>
      <c r="I49" s="252">
        <v>4</v>
      </c>
      <c r="J49" s="252">
        <v>4</v>
      </c>
    </row>
    <row r="50" spans="1:10" x14ac:dyDescent="0.25">
      <c r="A50" s="251" t="s">
        <v>1203</v>
      </c>
      <c r="B50" s="252">
        <v>0</v>
      </c>
      <c r="C50" s="252">
        <v>1</v>
      </c>
      <c r="D50" s="252">
        <v>1</v>
      </c>
      <c r="E50" s="252">
        <v>2</v>
      </c>
      <c r="F50" s="252">
        <v>3</v>
      </c>
      <c r="G50" s="252">
        <v>3</v>
      </c>
      <c r="H50" s="252">
        <v>4</v>
      </c>
      <c r="I50" s="252">
        <v>3</v>
      </c>
      <c r="J50" s="252">
        <v>3</v>
      </c>
    </row>
    <row r="51" spans="1:10" x14ac:dyDescent="0.25">
      <c r="A51" s="251" t="s">
        <v>1204</v>
      </c>
      <c r="B51" s="252">
        <v>74</v>
      </c>
      <c r="C51" s="252">
        <v>76</v>
      </c>
      <c r="D51" s="252">
        <v>95</v>
      </c>
      <c r="E51" s="252">
        <v>103</v>
      </c>
      <c r="F51" s="252">
        <v>110</v>
      </c>
      <c r="G51" s="252">
        <v>119</v>
      </c>
      <c r="H51" s="252">
        <v>123</v>
      </c>
      <c r="I51" s="252">
        <v>120</v>
      </c>
      <c r="J51" s="252">
        <v>121</v>
      </c>
    </row>
    <row r="52" spans="1:10" x14ac:dyDescent="0.25">
      <c r="A52" s="251" t="s">
        <v>1205</v>
      </c>
      <c r="B52" s="252">
        <v>10</v>
      </c>
      <c r="C52" s="252">
        <v>9</v>
      </c>
      <c r="D52" s="252">
        <v>15</v>
      </c>
      <c r="E52" s="252">
        <v>16</v>
      </c>
      <c r="F52" s="252">
        <v>19</v>
      </c>
      <c r="G52" s="252">
        <v>26</v>
      </c>
      <c r="H52" s="252">
        <v>24</v>
      </c>
      <c r="I52" s="252">
        <v>20</v>
      </c>
      <c r="J52" s="252">
        <v>20</v>
      </c>
    </row>
    <row r="53" spans="1:10" x14ac:dyDescent="0.25">
      <c r="A53" s="251" t="s">
        <v>1206</v>
      </c>
      <c r="B53" s="252">
        <v>9</v>
      </c>
      <c r="C53" s="252">
        <v>8</v>
      </c>
      <c r="D53" s="252">
        <v>8</v>
      </c>
      <c r="E53" s="252">
        <v>6</v>
      </c>
      <c r="F53" s="252">
        <v>6</v>
      </c>
      <c r="G53" s="252">
        <v>7</v>
      </c>
      <c r="H53" s="252">
        <v>9</v>
      </c>
      <c r="I53" s="252">
        <v>10</v>
      </c>
      <c r="J53" s="252">
        <v>11</v>
      </c>
    </row>
    <row r="54" spans="1:10" x14ac:dyDescent="0.25">
      <c r="A54" s="251" t="s">
        <v>1207</v>
      </c>
      <c r="B54" s="252">
        <v>9</v>
      </c>
      <c r="C54" s="252">
        <v>5</v>
      </c>
      <c r="D54" s="252">
        <v>10</v>
      </c>
      <c r="E54" s="252">
        <v>10</v>
      </c>
      <c r="F54" s="252">
        <v>9</v>
      </c>
      <c r="G54" s="252">
        <v>14</v>
      </c>
      <c r="H54" s="252">
        <v>13</v>
      </c>
      <c r="I54" s="252">
        <v>13</v>
      </c>
      <c r="J54" s="252">
        <v>14</v>
      </c>
    </row>
    <row r="55" spans="1:10" x14ac:dyDescent="0.25">
      <c r="A55" s="251" t="s">
        <v>571</v>
      </c>
      <c r="B55" s="252">
        <v>2</v>
      </c>
      <c r="C55" s="252">
        <v>1</v>
      </c>
      <c r="D55" s="252">
        <v>1</v>
      </c>
      <c r="E55" s="252">
        <v>1</v>
      </c>
      <c r="F55" s="252">
        <v>1</v>
      </c>
      <c r="G55" s="252">
        <v>2</v>
      </c>
      <c r="H55" s="252">
        <v>3</v>
      </c>
      <c r="I55" s="252">
        <v>3</v>
      </c>
      <c r="J55" s="252">
        <v>3</v>
      </c>
    </row>
    <row r="56" spans="1:10" ht="12.75" customHeight="1" x14ac:dyDescent="0.3">
      <c r="A56" s="385"/>
      <c r="B56" s="385"/>
      <c r="C56" s="385"/>
      <c r="D56" s="385"/>
      <c r="E56" s="385"/>
      <c r="F56" s="385"/>
      <c r="G56" s="385"/>
      <c r="H56" s="385"/>
      <c r="I56" s="385"/>
      <c r="J56" s="385"/>
    </row>
    <row r="57" spans="1:10" x14ac:dyDescent="0.25">
      <c r="A57" s="257" t="s">
        <v>1208</v>
      </c>
      <c r="B57" s="256">
        <v>60</v>
      </c>
      <c r="C57" s="256">
        <v>67</v>
      </c>
      <c r="D57" s="256">
        <v>85</v>
      </c>
      <c r="E57" s="256">
        <v>92</v>
      </c>
      <c r="F57" s="256">
        <v>94</v>
      </c>
      <c r="G57" s="256">
        <v>95</v>
      </c>
      <c r="H57" s="256">
        <v>108</v>
      </c>
      <c r="I57" s="256">
        <v>124</v>
      </c>
      <c r="J57" s="256">
        <v>136</v>
      </c>
    </row>
    <row r="58" spans="1:10" ht="12.75" customHeight="1" x14ac:dyDescent="0.3">
      <c r="A58" s="385"/>
      <c r="B58" s="385"/>
      <c r="C58" s="385"/>
      <c r="D58" s="385"/>
      <c r="E58" s="385"/>
      <c r="F58" s="385"/>
      <c r="G58" s="385"/>
      <c r="H58" s="385"/>
      <c r="I58" s="385"/>
      <c r="J58" s="385"/>
    </row>
    <row r="59" spans="1:10" x14ac:dyDescent="0.25">
      <c r="A59" s="257" t="s">
        <v>949</v>
      </c>
      <c r="B59" s="256">
        <f t="shared" ref="B59:G59" si="0">SUM(B5:B57)</f>
        <v>9947</v>
      </c>
      <c r="C59" s="256">
        <f t="shared" si="0"/>
        <v>10168</v>
      </c>
      <c r="D59" s="256">
        <f t="shared" si="0"/>
        <v>11234</v>
      </c>
      <c r="E59" s="256">
        <f t="shared" si="0"/>
        <v>12491</v>
      </c>
      <c r="F59" s="256">
        <f t="shared" si="0"/>
        <v>12713</v>
      </c>
      <c r="G59" s="256">
        <f t="shared" si="0"/>
        <v>13928</v>
      </c>
      <c r="H59" s="256">
        <f>SUM(H5:H57)</f>
        <v>14038</v>
      </c>
      <c r="I59" s="256">
        <f>SUM(I5:I57)</f>
        <v>14095</v>
      </c>
      <c r="J59" s="256">
        <f>SUM(J5:J57)</f>
        <v>14480</v>
      </c>
    </row>
    <row r="60" spans="1:10" x14ac:dyDescent="0.25">
      <c r="G60" s="266"/>
    </row>
  </sheetData>
  <mergeCells count="1">
    <mergeCell ref="A1:J1"/>
  </mergeCells>
  <phoneticPr fontId="15" type="noConversion"/>
  <printOptions horizontalCentered="1" verticalCentered="1"/>
  <pageMargins left="0.75" right="0.75" top="1" bottom="1" header="0.5" footer="0.5"/>
  <pageSetup scale="82" orientation="portrait" horizontalDpi="4294967292" verticalDpi="4294967292" r:id="rId1"/>
  <headerFooter alignWithMargins="0">
    <oddFooter>&amp;LSource: Office of Alumni Affairs</oddFooter>
  </headerFooter>
  <webPublishItems count="1">
    <webPublishItem id="30000" divId="2001_2002 FACT BOOK FINAL COPY_30000" sourceType="sheet" destinationFile="C:\Documents and Settings\mkirkpatrick\My Documents\2004-2005 FACT BOOK\2004-2005 fact book WEB PAGES\04_05alumnibystate.htm"/>
  </webPublishItem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pageSetUpPr fitToPage="1"/>
  </sheetPr>
  <dimension ref="A1:J57"/>
  <sheetViews>
    <sheetView workbookViewId="0">
      <selection sqref="A1:J1"/>
    </sheetView>
  </sheetViews>
  <sheetFormatPr defaultColWidth="6.6640625" defaultRowHeight="13.2" x14ac:dyDescent="0.25"/>
  <cols>
    <col min="1" max="1" width="15.88671875" style="258" customWidth="1"/>
    <col min="2" max="5" width="10.6640625" style="258" hidden="1" customWidth="1"/>
    <col min="6" max="10" width="10.6640625" style="258" customWidth="1"/>
    <col min="11" max="16384" width="6.6640625" style="258"/>
  </cols>
  <sheetData>
    <row r="1" spans="1:10" ht="60" customHeight="1" x14ac:dyDescent="0.25">
      <c r="A1" s="1777" t="s">
        <v>558</v>
      </c>
      <c r="B1" s="1777"/>
      <c r="C1" s="1777"/>
      <c r="D1" s="1777"/>
      <c r="E1" s="1777"/>
      <c r="F1" s="1777"/>
      <c r="G1" s="1777"/>
      <c r="H1" s="1777"/>
      <c r="I1" s="1777"/>
      <c r="J1" s="1777"/>
    </row>
    <row r="2" spans="1:10" x14ac:dyDescent="0.25">
      <c r="A2" s="259"/>
      <c r="B2" s="259"/>
      <c r="C2" s="259"/>
      <c r="D2" s="259"/>
      <c r="E2" s="259"/>
      <c r="F2" s="259"/>
      <c r="G2" s="259"/>
    </row>
    <row r="3" spans="1:10" x14ac:dyDescent="0.25">
      <c r="A3" s="322" t="s">
        <v>1209</v>
      </c>
      <c r="B3" s="260">
        <v>2000</v>
      </c>
      <c r="C3" s="260">
        <v>2001</v>
      </c>
      <c r="D3" s="260">
        <v>2002</v>
      </c>
      <c r="E3" s="250">
        <v>2007</v>
      </c>
      <c r="F3" s="250">
        <f>+E3+1</f>
        <v>2008</v>
      </c>
      <c r="G3" s="250">
        <f>+F3+1</f>
        <v>2009</v>
      </c>
      <c r="H3" s="250">
        <f>+G3+1</f>
        <v>2010</v>
      </c>
      <c r="I3" s="250">
        <f>+H3+1</f>
        <v>2011</v>
      </c>
      <c r="J3" s="250">
        <f>+I3+1</f>
        <v>2012</v>
      </c>
    </row>
    <row r="4" spans="1:10" ht="12.75" customHeight="1" x14ac:dyDescent="0.3">
      <c r="A4" s="385"/>
      <c r="B4" s="385"/>
      <c r="C4" s="385"/>
      <c r="D4" s="385"/>
      <c r="E4" s="385"/>
      <c r="F4" s="385"/>
      <c r="G4" s="385"/>
      <c r="H4" s="385"/>
      <c r="I4" s="385"/>
      <c r="J4" s="385"/>
    </row>
    <row r="5" spans="1:10" x14ac:dyDescent="0.25">
      <c r="A5" s="261" t="s">
        <v>1210</v>
      </c>
      <c r="B5" s="262">
        <v>444</v>
      </c>
      <c r="C5" s="262">
        <v>472</v>
      </c>
      <c r="D5" s="262">
        <v>503</v>
      </c>
      <c r="E5" s="262">
        <v>508</v>
      </c>
      <c r="F5" s="262">
        <v>523</v>
      </c>
      <c r="G5" s="262">
        <v>524</v>
      </c>
      <c r="H5" s="262">
        <v>571</v>
      </c>
      <c r="I5" s="262">
        <v>588</v>
      </c>
      <c r="J5" s="262">
        <v>606</v>
      </c>
    </row>
    <row r="6" spans="1:10" x14ac:dyDescent="0.25">
      <c r="A6" s="263" t="s">
        <v>1211</v>
      </c>
      <c r="B6" s="264">
        <v>159</v>
      </c>
      <c r="C6" s="264">
        <v>163</v>
      </c>
      <c r="D6" s="264">
        <v>170</v>
      </c>
      <c r="E6" s="264">
        <v>193</v>
      </c>
      <c r="F6" s="264">
        <v>191</v>
      </c>
      <c r="G6" s="264">
        <v>191</v>
      </c>
      <c r="H6" s="264">
        <v>207</v>
      </c>
      <c r="I6" s="264">
        <v>215</v>
      </c>
      <c r="J6" s="264">
        <v>223</v>
      </c>
    </row>
    <row r="7" spans="1:10" x14ac:dyDescent="0.25">
      <c r="A7" s="263" t="s">
        <v>1212</v>
      </c>
      <c r="B7" s="264">
        <v>7</v>
      </c>
      <c r="C7" s="264">
        <v>7</v>
      </c>
      <c r="D7" s="264">
        <v>7</v>
      </c>
      <c r="E7" s="264">
        <v>7</v>
      </c>
      <c r="F7" s="264">
        <v>7</v>
      </c>
      <c r="G7" s="264">
        <v>7</v>
      </c>
      <c r="H7" s="264">
        <v>7</v>
      </c>
      <c r="I7" s="264">
        <v>8</v>
      </c>
      <c r="J7" s="264">
        <v>9</v>
      </c>
    </row>
    <row r="8" spans="1:10" x14ac:dyDescent="0.25">
      <c r="A8" s="263" t="s">
        <v>1213</v>
      </c>
      <c r="B8" s="264">
        <v>626</v>
      </c>
      <c r="C8" s="264">
        <v>634</v>
      </c>
      <c r="D8" s="264">
        <v>708</v>
      </c>
      <c r="E8" s="264">
        <v>782</v>
      </c>
      <c r="F8" s="264">
        <v>814</v>
      </c>
      <c r="G8" s="264">
        <v>914</v>
      </c>
      <c r="H8" s="264">
        <v>872</v>
      </c>
      <c r="I8" s="264">
        <v>878</v>
      </c>
      <c r="J8" s="264">
        <v>907</v>
      </c>
    </row>
    <row r="9" spans="1:10" x14ac:dyDescent="0.25">
      <c r="A9" s="263" t="s">
        <v>1214</v>
      </c>
      <c r="B9" s="264">
        <v>14</v>
      </c>
      <c r="C9" s="264">
        <v>15</v>
      </c>
      <c r="D9" s="264">
        <v>10</v>
      </c>
      <c r="E9" s="264">
        <v>12</v>
      </c>
      <c r="F9" s="264">
        <v>12</v>
      </c>
      <c r="G9" s="264">
        <v>13</v>
      </c>
      <c r="H9" s="264">
        <v>14</v>
      </c>
      <c r="I9" s="264">
        <v>14</v>
      </c>
      <c r="J9" s="264">
        <v>17</v>
      </c>
    </row>
    <row r="10" spans="1:10" x14ac:dyDescent="0.25">
      <c r="A10" s="263" t="s">
        <v>1215</v>
      </c>
      <c r="B10" s="264">
        <v>31</v>
      </c>
      <c r="C10" s="264">
        <v>32</v>
      </c>
      <c r="D10" s="264">
        <v>34</v>
      </c>
      <c r="E10" s="264">
        <v>28</v>
      </c>
      <c r="F10" s="264">
        <v>37</v>
      </c>
      <c r="G10" s="264">
        <v>37</v>
      </c>
      <c r="H10" s="264">
        <v>42</v>
      </c>
      <c r="I10" s="264">
        <v>45</v>
      </c>
      <c r="J10" s="264">
        <v>43</v>
      </c>
    </row>
    <row r="11" spans="1:10" x14ac:dyDescent="0.25">
      <c r="A11" s="263" t="s">
        <v>1216</v>
      </c>
      <c r="B11" s="264">
        <v>38</v>
      </c>
      <c r="C11" s="264">
        <v>42</v>
      </c>
      <c r="D11" s="264">
        <v>53</v>
      </c>
      <c r="E11" s="264">
        <v>72</v>
      </c>
      <c r="F11" s="264">
        <v>73</v>
      </c>
      <c r="G11" s="264">
        <v>73</v>
      </c>
      <c r="H11" s="264">
        <v>71</v>
      </c>
      <c r="I11" s="264">
        <v>71</v>
      </c>
      <c r="J11" s="264">
        <v>73</v>
      </c>
    </row>
    <row r="12" spans="1:10" x14ac:dyDescent="0.25">
      <c r="A12" s="265" t="s">
        <v>559</v>
      </c>
      <c r="B12" s="264">
        <v>40</v>
      </c>
      <c r="C12" s="264">
        <v>49</v>
      </c>
      <c r="D12" s="264">
        <v>52</v>
      </c>
      <c r="E12" s="264">
        <v>60</v>
      </c>
      <c r="F12" s="264">
        <v>64</v>
      </c>
      <c r="G12" s="264">
        <v>64</v>
      </c>
      <c r="H12" s="264">
        <v>77</v>
      </c>
      <c r="I12" s="264">
        <v>81</v>
      </c>
      <c r="J12" s="264">
        <v>83</v>
      </c>
    </row>
    <row r="13" spans="1:10" x14ac:dyDescent="0.25">
      <c r="A13" s="263" t="s">
        <v>1217</v>
      </c>
      <c r="B13" s="264">
        <v>11</v>
      </c>
      <c r="C13" s="264">
        <v>11</v>
      </c>
      <c r="D13" s="264">
        <v>11</v>
      </c>
      <c r="E13" s="264">
        <v>15</v>
      </c>
      <c r="F13" s="264">
        <v>12</v>
      </c>
      <c r="G13" s="264">
        <v>12</v>
      </c>
      <c r="H13" s="264">
        <v>12</v>
      </c>
      <c r="I13" s="264">
        <v>13</v>
      </c>
      <c r="J13" s="264">
        <v>14</v>
      </c>
    </row>
    <row r="14" spans="1:10" x14ac:dyDescent="0.25">
      <c r="A14" s="263" t="s">
        <v>1218</v>
      </c>
      <c r="B14" s="264">
        <v>196</v>
      </c>
      <c r="C14" s="264">
        <v>206</v>
      </c>
      <c r="D14" s="264">
        <v>254</v>
      </c>
      <c r="E14" s="264">
        <v>290</v>
      </c>
      <c r="F14" s="264">
        <v>291</v>
      </c>
      <c r="G14" s="264">
        <v>299</v>
      </c>
      <c r="H14" s="264">
        <v>322</v>
      </c>
      <c r="I14" s="264">
        <v>318</v>
      </c>
      <c r="J14" s="264">
        <v>326</v>
      </c>
    </row>
    <row r="15" spans="1:10" x14ac:dyDescent="0.25">
      <c r="A15" s="263" t="s">
        <v>1219</v>
      </c>
      <c r="B15" s="264">
        <v>29</v>
      </c>
      <c r="C15" s="264">
        <v>27</v>
      </c>
      <c r="D15" s="264">
        <v>27</v>
      </c>
      <c r="E15" s="264">
        <v>28</v>
      </c>
      <c r="F15" s="264">
        <v>29</v>
      </c>
      <c r="G15" s="264">
        <v>29</v>
      </c>
      <c r="H15" s="264">
        <v>40</v>
      </c>
      <c r="I15" s="264">
        <v>43</v>
      </c>
      <c r="J15" s="264">
        <v>44</v>
      </c>
    </row>
    <row r="16" spans="1:10" x14ac:dyDescent="0.25">
      <c r="A16" s="263" t="s">
        <v>1222</v>
      </c>
      <c r="B16" s="264">
        <v>16</v>
      </c>
      <c r="C16" s="264">
        <v>18</v>
      </c>
      <c r="D16" s="264">
        <v>18</v>
      </c>
      <c r="E16" s="264">
        <v>26</v>
      </c>
      <c r="F16" s="264">
        <v>28</v>
      </c>
      <c r="G16" s="264">
        <v>28</v>
      </c>
      <c r="H16" s="264">
        <v>34</v>
      </c>
      <c r="I16" s="264">
        <v>35</v>
      </c>
      <c r="J16" s="264">
        <v>37</v>
      </c>
    </row>
    <row r="17" spans="1:10" x14ac:dyDescent="0.25">
      <c r="A17" s="263" t="s">
        <v>1223</v>
      </c>
      <c r="B17" s="264">
        <v>20</v>
      </c>
      <c r="C17" s="264">
        <v>23</v>
      </c>
      <c r="D17" s="264">
        <v>24</v>
      </c>
      <c r="E17" s="264">
        <v>34</v>
      </c>
      <c r="F17" s="264">
        <v>35</v>
      </c>
      <c r="G17" s="264">
        <v>35</v>
      </c>
      <c r="H17" s="264">
        <v>34</v>
      </c>
      <c r="I17" s="264">
        <v>34</v>
      </c>
      <c r="J17" s="264">
        <v>41</v>
      </c>
    </row>
    <row r="18" spans="1:10" x14ac:dyDescent="0.25">
      <c r="A18" s="263" t="s">
        <v>1224</v>
      </c>
      <c r="B18" s="264">
        <v>18</v>
      </c>
      <c r="C18" s="264">
        <v>20</v>
      </c>
      <c r="D18" s="264">
        <v>20</v>
      </c>
      <c r="E18" s="264">
        <v>15</v>
      </c>
      <c r="F18" s="264">
        <v>13</v>
      </c>
      <c r="G18" s="264">
        <v>13</v>
      </c>
      <c r="H18" s="264">
        <v>16</v>
      </c>
      <c r="I18" s="264">
        <v>16</v>
      </c>
      <c r="J18" s="264">
        <v>17</v>
      </c>
    </row>
    <row r="19" spans="1:10" x14ac:dyDescent="0.25">
      <c r="A19" s="263" t="s">
        <v>1225</v>
      </c>
      <c r="B19" s="264">
        <v>33</v>
      </c>
      <c r="C19" s="264">
        <v>32</v>
      </c>
      <c r="D19" s="264">
        <v>34</v>
      </c>
      <c r="E19" s="264">
        <v>34</v>
      </c>
      <c r="F19" s="264">
        <v>32</v>
      </c>
      <c r="G19" s="264">
        <v>32</v>
      </c>
      <c r="H19" s="264">
        <v>35</v>
      </c>
      <c r="I19" s="264">
        <v>40</v>
      </c>
      <c r="J19" s="264">
        <v>39</v>
      </c>
    </row>
    <row r="20" spans="1:10" x14ac:dyDescent="0.25">
      <c r="A20" s="263" t="s">
        <v>1226</v>
      </c>
      <c r="B20" s="264">
        <v>49</v>
      </c>
      <c r="C20" s="264">
        <v>47</v>
      </c>
      <c r="D20" s="264">
        <v>46</v>
      </c>
      <c r="E20" s="264">
        <v>44</v>
      </c>
      <c r="F20" s="264">
        <v>47</v>
      </c>
      <c r="G20" s="264">
        <v>47</v>
      </c>
      <c r="H20" s="264">
        <v>44</v>
      </c>
      <c r="I20" s="264">
        <v>46</v>
      </c>
      <c r="J20" s="264">
        <v>48</v>
      </c>
    </row>
    <row r="21" spans="1:10" x14ac:dyDescent="0.25">
      <c r="A21" s="263" t="s">
        <v>1227</v>
      </c>
      <c r="B21" s="264">
        <v>16</v>
      </c>
      <c r="C21" s="264">
        <v>16</v>
      </c>
      <c r="D21" s="264">
        <v>17</v>
      </c>
      <c r="E21" s="264">
        <v>26</v>
      </c>
      <c r="F21" s="264">
        <v>30</v>
      </c>
      <c r="G21" s="264">
        <v>30</v>
      </c>
      <c r="H21" s="264">
        <v>31</v>
      </c>
      <c r="I21" s="264">
        <v>31</v>
      </c>
      <c r="J21" s="264">
        <v>30</v>
      </c>
    </row>
    <row r="22" spans="1:10" x14ac:dyDescent="0.25">
      <c r="A22" s="263" t="s">
        <v>1228</v>
      </c>
      <c r="B22" s="264">
        <v>66</v>
      </c>
      <c r="C22" s="264">
        <v>68</v>
      </c>
      <c r="D22" s="264">
        <v>74</v>
      </c>
      <c r="E22" s="264">
        <v>99</v>
      </c>
      <c r="F22" s="264">
        <v>98</v>
      </c>
      <c r="G22" s="264">
        <v>98</v>
      </c>
      <c r="H22" s="264">
        <v>112</v>
      </c>
      <c r="I22" s="264">
        <v>109</v>
      </c>
      <c r="J22" s="264">
        <v>111</v>
      </c>
    </row>
    <row r="23" spans="1:10" x14ac:dyDescent="0.25">
      <c r="A23" s="261" t="s">
        <v>1229</v>
      </c>
      <c r="B23" s="262">
        <v>62</v>
      </c>
      <c r="C23" s="262">
        <v>66</v>
      </c>
      <c r="D23" s="262">
        <v>64</v>
      </c>
      <c r="E23" s="262">
        <v>85</v>
      </c>
      <c r="F23" s="262">
        <v>87</v>
      </c>
      <c r="G23" s="262">
        <v>87</v>
      </c>
      <c r="H23" s="262">
        <v>102</v>
      </c>
      <c r="I23" s="262">
        <v>105</v>
      </c>
      <c r="J23" s="262">
        <v>106</v>
      </c>
    </row>
    <row r="24" spans="1:10" x14ac:dyDescent="0.25">
      <c r="A24" s="263" t="s">
        <v>1230</v>
      </c>
      <c r="B24" s="264">
        <v>19</v>
      </c>
      <c r="C24" s="264">
        <v>21</v>
      </c>
      <c r="D24" s="264">
        <v>24</v>
      </c>
      <c r="E24" s="264">
        <v>29</v>
      </c>
      <c r="F24" s="264">
        <v>28</v>
      </c>
      <c r="G24" s="264">
        <v>28</v>
      </c>
      <c r="H24" s="264">
        <v>36</v>
      </c>
      <c r="I24" s="264">
        <v>39</v>
      </c>
      <c r="J24" s="264">
        <v>39</v>
      </c>
    </row>
    <row r="25" spans="1:10" x14ac:dyDescent="0.25">
      <c r="A25" s="263" t="s">
        <v>1231</v>
      </c>
      <c r="B25" s="264">
        <v>86</v>
      </c>
      <c r="C25" s="264">
        <v>86</v>
      </c>
      <c r="D25" s="264">
        <v>89</v>
      </c>
      <c r="E25" s="264">
        <v>90</v>
      </c>
      <c r="F25" s="264">
        <v>88</v>
      </c>
      <c r="G25" s="264">
        <v>88</v>
      </c>
      <c r="H25" s="264">
        <v>123</v>
      </c>
      <c r="I25" s="264">
        <v>92</v>
      </c>
      <c r="J25" s="264">
        <v>96</v>
      </c>
    </row>
    <row r="26" spans="1:10" x14ac:dyDescent="0.25">
      <c r="A26" s="263" t="s">
        <v>1232</v>
      </c>
      <c r="B26" s="264">
        <v>25</v>
      </c>
      <c r="C26" s="264">
        <v>21</v>
      </c>
      <c r="D26" s="264">
        <v>23</v>
      </c>
      <c r="E26" s="264">
        <v>36</v>
      </c>
      <c r="F26" s="264">
        <v>35</v>
      </c>
      <c r="G26" s="264">
        <v>35</v>
      </c>
      <c r="H26" s="264">
        <v>39</v>
      </c>
      <c r="I26" s="264">
        <v>46</v>
      </c>
      <c r="J26" s="264">
        <v>47</v>
      </c>
    </row>
    <row r="27" spans="1:10" x14ac:dyDescent="0.25">
      <c r="A27" s="263" t="s">
        <v>1233</v>
      </c>
      <c r="B27" s="264">
        <v>944</v>
      </c>
      <c r="C27" s="264">
        <v>988</v>
      </c>
      <c r="D27" s="264">
        <v>1132</v>
      </c>
      <c r="E27" s="264">
        <v>1310</v>
      </c>
      <c r="F27" s="264">
        <v>1347</v>
      </c>
      <c r="G27" s="264">
        <v>1546</v>
      </c>
      <c r="H27" s="264">
        <v>1492</v>
      </c>
      <c r="I27" s="264">
        <v>1502</v>
      </c>
      <c r="J27" s="264">
        <v>1540</v>
      </c>
    </row>
    <row r="28" spans="1:10" x14ac:dyDescent="0.25">
      <c r="A28" s="261" t="s">
        <v>1234</v>
      </c>
      <c r="B28" s="262">
        <v>2505</v>
      </c>
      <c r="C28" s="262">
        <v>2563</v>
      </c>
      <c r="D28" s="262">
        <v>2679</v>
      </c>
      <c r="E28" s="262">
        <v>2900</v>
      </c>
      <c r="F28" s="262">
        <v>2895</v>
      </c>
      <c r="G28" s="262">
        <v>3313</v>
      </c>
      <c r="H28" s="262">
        <v>3099</v>
      </c>
      <c r="I28" s="262">
        <v>3084</v>
      </c>
      <c r="J28" s="262">
        <v>3195</v>
      </c>
    </row>
    <row r="29" spans="1:10" x14ac:dyDescent="0.25">
      <c r="A29" s="263" t="s">
        <v>1235</v>
      </c>
      <c r="B29" s="323">
        <v>18</v>
      </c>
      <c r="C29" s="323">
        <v>20</v>
      </c>
      <c r="D29" s="323">
        <v>23</v>
      </c>
      <c r="E29" s="323">
        <v>18</v>
      </c>
      <c r="F29" s="323">
        <v>16</v>
      </c>
      <c r="G29" s="323">
        <v>16</v>
      </c>
      <c r="H29" s="323">
        <v>22</v>
      </c>
      <c r="I29" s="323">
        <v>24</v>
      </c>
      <c r="J29" s="323">
        <v>24</v>
      </c>
    </row>
    <row r="30" spans="1:10" x14ac:dyDescent="0.25">
      <c r="A30" s="263" t="s">
        <v>1236</v>
      </c>
      <c r="B30" s="324">
        <v>85</v>
      </c>
      <c r="C30" s="324">
        <v>82</v>
      </c>
      <c r="D30" s="324">
        <v>93</v>
      </c>
      <c r="E30" s="324">
        <v>96</v>
      </c>
      <c r="F30" s="324">
        <v>95</v>
      </c>
      <c r="G30" s="324">
        <v>95</v>
      </c>
      <c r="H30" s="324">
        <v>111</v>
      </c>
      <c r="I30" s="324">
        <v>105</v>
      </c>
      <c r="J30" s="324">
        <v>104</v>
      </c>
    </row>
    <row r="31" spans="1:10" x14ac:dyDescent="0.25">
      <c r="A31" s="263" t="s">
        <v>1237</v>
      </c>
      <c r="B31" s="264">
        <v>10</v>
      </c>
      <c r="C31" s="264">
        <v>12</v>
      </c>
      <c r="D31" s="264">
        <v>12</v>
      </c>
      <c r="E31" s="264">
        <v>6</v>
      </c>
      <c r="F31" s="264">
        <v>10</v>
      </c>
      <c r="G31" s="264">
        <v>10</v>
      </c>
      <c r="H31" s="264">
        <v>9</v>
      </c>
      <c r="I31" s="264">
        <v>10</v>
      </c>
      <c r="J31" s="264">
        <v>9</v>
      </c>
    </row>
    <row r="32" spans="1:10" x14ac:dyDescent="0.25">
      <c r="A32" s="263" t="s">
        <v>1238</v>
      </c>
      <c r="B32" s="264">
        <v>48</v>
      </c>
      <c r="C32" s="264">
        <v>55</v>
      </c>
      <c r="D32" s="264">
        <v>67</v>
      </c>
      <c r="E32" s="264">
        <v>98</v>
      </c>
      <c r="F32" s="264">
        <v>108</v>
      </c>
      <c r="G32" s="264">
        <v>108</v>
      </c>
      <c r="H32" s="264">
        <v>115</v>
      </c>
      <c r="I32" s="264">
        <v>114</v>
      </c>
      <c r="J32" s="264">
        <v>114</v>
      </c>
    </row>
    <row r="33" spans="1:10" x14ac:dyDescent="0.25">
      <c r="A33" s="263" t="s">
        <v>1239</v>
      </c>
      <c r="B33" s="264">
        <v>16</v>
      </c>
      <c r="C33" s="264">
        <v>21</v>
      </c>
      <c r="D33" s="264">
        <v>26</v>
      </c>
      <c r="E33" s="264">
        <v>29</v>
      </c>
      <c r="F33" s="264">
        <v>32</v>
      </c>
      <c r="G33" s="264">
        <v>32</v>
      </c>
      <c r="H33" s="264">
        <v>44</v>
      </c>
      <c r="I33" s="264">
        <v>45</v>
      </c>
      <c r="J33" s="264">
        <v>45</v>
      </c>
    </row>
    <row r="34" spans="1:10" x14ac:dyDescent="0.25">
      <c r="A34" s="261" t="s">
        <v>1240</v>
      </c>
      <c r="B34" s="262">
        <v>493</v>
      </c>
      <c r="C34" s="262">
        <v>496</v>
      </c>
      <c r="D34" s="262">
        <v>537</v>
      </c>
      <c r="E34" s="262">
        <v>609</v>
      </c>
      <c r="F34" s="262">
        <v>621</v>
      </c>
      <c r="G34" s="262">
        <v>621</v>
      </c>
      <c r="H34" s="262">
        <v>673</v>
      </c>
      <c r="I34" s="262">
        <v>670</v>
      </c>
      <c r="J34" s="262">
        <v>699</v>
      </c>
    </row>
    <row r="35" spans="1:10" x14ac:dyDescent="0.25">
      <c r="A35" s="263" t="s">
        <v>1241</v>
      </c>
      <c r="B35" s="264">
        <v>7</v>
      </c>
      <c r="C35" s="264">
        <v>8</v>
      </c>
      <c r="D35" s="264">
        <v>13</v>
      </c>
      <c r="E35" s="264">
        <v>8</v>
      </c>
      <c r="F35" s="264">
        <v>8</v>
      </c>
      <c r="G35" s="264">
        <v>8</v>
      </c>
      <c r="H35" s="264">
        <v>8</v>
      </c>
      <c r="I35" s="264">
        <v>9</v>
      </c>
      <c r="J35" s="264">
        <v>10</v>
      </c>
    </row>
    <row r="36" spans="1:10" x14ac:dyDescent="0.25">
      <c r="A36" s="263" t="s">
        <v>1242</v>
      </c>
      <c r="B36" s="264">
        <v>326</v>
      </c>
      <c r="C36" s="264">
        <v>331</v>
      </c>
      <c r="D36" s="264">
        <v>350</v>
      </c>
      <c r="E36" s="264">
        <v>478</v>
      </c>
      <c r="F36" s="264">
        <v>511</v>
      </c>
      <c r="G36" s="264">
        <v>511</v>
      </c>
      <c r="H36" s="264">
        <v>605</v>
      </c>
      <c r="I36" s="264">
        <v>614</v>
      </c>
      <c r="J36" s="264">
        <v>635</v>
      </c>
    </row>
    <row r="37" spans="1:10" x14ac:dyDescent="0.25">
      <c r="A37" s="263" t="s">
        <v>1243</v>
      </c>
      <c r="B37" s="264">
        <v>12</v>
      </c>
      <c r="C37" s="264">
        <v>11</v>
      </c>
      <c r="D37" s="264">
        <v>11</v>
      </c>
      <c r="E37" s="264">
        <v>11</v>
      </c>
      <c r="F37" s="264">
        <v>13</v>
      </c>
      <c r="G37" s="264">
        <v>13</v>
      </c>
      <c r="H37" s="264">
        <v>14</v>
      </c>
      <c r="I37" s="264">
        <v>9</v>
      </c>
      <c r="J37" s="264">
        <v>10</v>
      </c>
    </row>
    <row r="38" spans="1:10" x14ac:dyDescent="0.25">
      <c r="A38" s="263" t="s">
        <v>1244</v>
      </c>
      <c r="B38" s="264">
        <v>9</v>
      </c>
      <c r="C38" s="264">
        <v>10</v>
      </c>
      <c r="D38" s="264">
        <v>15</v>
      </c>
      <c r="E38" s="264">
        <v>12</v>
      </c>
      <c r="F38" s="264">
        <v>12</v>
      </c>
      <c r="G38" s="264">
        <v>12</v>
      </c>
      <c r="H38" s="264">
        <v>12</v>
      </c>
      <c r="I38" s="264">
        <v>14</v>
      </c>
      <c r="J38" s="264">
        <v>14</v>
      </c>
    </row>
    <row r="39" spans="1:10" x14ac:dyDescent="0.25">
      <c r="A39" s="261" t="s">
        <v>1246</v>
      </c>
      <c r="B39" s="262">
        <v>112</v>
      </c>
      <c r="C39" s="262">
        <v>115</v>
      </c>
      <c r="D39" s="262">
        <v>120</v>
      </c>
      <c r="E39" s="262">
        <v>102</v>
      </c>
      <c r="F39" s="262">
        <v>106</v>
      </c>
      <c r="G39" s="262">
        <v>106</v>
      </c>
      <c r="H39" s="262">
        <v>104</v>
      </c>
      <c r="I39" s="262">
        <v>106</v>
      </c>
      <c r="J39" s="262">
        <v>110</v>
      </c>
    </row>
    <row r="40" spans="1:10" x14ac:dyDescent="0.25">
      <c r="A40" s="261" t="s">
        <v>1247</v>
      </c>
      <c r="B40" s="262">
        <v>216</v>
      </c>
      <c r="C40" s="262">
        <v>219</v>
      </c>
      <c r="D40" s="262">
        <v>230</v>
      </c>
      <c r="E40" s="262">
        <v>247</v>
      </c>
      <c r="F40" s="262">
        <v>256</v>
      </c>
      <c r="G40" s="262">
        <v>256</v>
      </c>
      <c r="H40" s="262">
        <v>270</v>
      </c>
      <c r="I40" s="262">
        <v>275</v>
      </c>
      <c r="J40" s="262">
        <v>277</v>
      </c>
    </row>
    <row r="41" spans="1:10" x14ac:dyDescent="0.25">
      <c r="A41" s="263" t="s">
        <v>1248</v>
      </c>
      <c r="B41" s="264">
        <v>116</v>
      </c>
      <c r="C41" s="264">
        <v>121</v>
      </c>
      <c r="D41" s="264">
        <v>126</v>
      </c>
      <c r="E41" s="264">
        <v>143</v>
      </c>
      <c r="F41" s="264">
        <v>150</v>
      </c>
      <c r="G41" s="264">
        <v>150</v>
      </c>
      <c r="H41" s="264">
        <v>149</v>
      </c>
      <c r="I41" s="264">
        <v>150</v>
      </c>
      <c r="J41" s="264">
        <v>157</v>
      </c>
    </row>
    <row r="42" spans="1:10" x14ac:dyDescent="0.25">
      <c r="A42" s="263" t="s">
        <v>1249</v>
      </c>
      <c r="B42" s="264">
        <v>86</v>
      </c>
      <c r="C42" s="264">
        <v>76</v>
      </c>
      <c r="D42" s="264">
        <v>83</v>
      </c>
      <c r="E42" s="264">
        <v>66</v>
      </c>
      <c r="F42" s="264">
        <v>66</v>
      </c>
      <c r="G42" s="264">
        <v>66</v>
      </c>
      <c r="H42" s="264">
        <v>70</v>
      </c>
      <c r="I42" s="264">
        <v>69</v>
      </c>
      <c r="J42" s="264">
        <v>74</v>
      </c>
    </row>
    <row r="43" spans="1:10" x14ac:dyDescent="0.25">
      <c r="A43" s="263" t="s">
        <v>1250</v>
      </c>
      <c r="B43" s="264">
        <v>186</v>
      </c>
      <c r="C43" s="264">
        <v>194</v>
      </c>
      <c r="D43" s="264">
        <v>196</v>
      </c>
      <c r="E43" s="264">
        <v>290</v>
      </c>
      <c r="F43" s="264">
        <v>303</v>
      </c>
      <c r="G43" s="264">
        <v>303</v>
      </c>
      <c r="H43" s="264">
        <v>323</v>
      </c>
      <c r="I43" s="264">
        <v>325</v>
      </c>
      <c r="J43" s="264">
        <v>328</v>
      </c>
    </row>
    <row r="44" spans="1:10" x14ac:dyDescent="0.25">
      <c r="A44" s="265" t="s">
        <v>1251</v>
      </c>
      <c r="B44" s="264">
        <v>377</v>
      </c>
      <c r="C44" s="264">
        <v>378</v>
      </c>
      <c r="D44" s="264">
        <v>436</v>
      </c>
      <c r="E44" s="264">
        <v>499</v>
      </c>
      <c r="F44" s="264">
        <v>495</v>
      </c>
      <c r="G44" s="264">
        <v>575</v>
      </c>
      <c r="H44" s="264">
        <v>576</v>
      </c>
      <c r="I44" s="264">
        <v>590</v>
      </c>
      <c r="J44" s="264">
        <v>598</v>
      </c>
    </row>
    <row r="45" spans="1:10" x14ac:dyDescent="0.25">
      <c r="A45" s="261" t="s">
        <v>1252</v>
      </c>
      <c r="B45" s="262">
        <v>182</v>
      </c>
      <c r="C45" s="262">
        <v>187</v>
      </c>
      <c r="D45" s="262">
        <v>190</v>
      </c>
      <c r="E45" s="262">
        <v>197</v>
      </c>
      <c r="F45" s="262">
        <v>201</v>
      </c>
      <c r="G45" s="262">
        <v>201</v>
      </c>
      <c r="H45" s="262">
        <v>224</v>
      </c>
      <c r="I45" s="262">
        <v>232</v>
      </c>
      <c r="J45" s="262">
        <v>248</v>
      </c>
    </row>
    <row r="46" spans="1:10" x14ac:dyDescent="0.25">
      <c r="A46" s="265" t="s">
        <v>1253</v>
      </c>
      <c r="B46" s="323">
        <v>276</v>
      </c>
      <c r="C46" s="323">
        <v>280</v>
      </c>
      <c r="D46" s="323">
        <v>306</v>
      </c>
      <c r="E46" s="323">
        <v>386</v>
      </c>
      <c r="F46" s="323">
        <v>405</v>
      </c>
      <c r="G46" s="323">
        <v>506</v>
      </c>
      <c r="H46" s="323">
        <v>463</v>
      </c>
      <c r="I46" s="323">
        <v>470</v>
      </c>
      <c r="J46" s="323">
        <v>482</v>
      </c>
    </row>
    <row r="47" spans="1:10" x14ac:dyDescent="0.25">
      <c r="A47" s="263" t="s">
        <v>1254</v>
      </c>
      <c r="B47" s="324">
        <v>79</v>
      </c>
      <c r="C47" s="324">
        <v>77</v>
      </c>
      <c r="D47" s="324">
        <v>78</v>
      </c>
      <c r="E47" s="324">
        <v>99</v>
      </c>
      <c r="F47" s="324">
        <v>109</v>
      </c>
      <c r="G47" s="324">
        <v>109</v>
      </c>
      <c r="H47" s="324">
        <v>98</v>
      </c>
      <c r="I47" s="324">
        <v>92</v>
      </c>
      <c r="J47" s="324">
        <v>98</v>
      </c>
    </row>
    <row r="48" spans="1:10" x14ac:dyDescent="0.25">
      <c r="A48" s="263" t="s">
        <v>1255</v>
      </c>
      <c r="B48" s="264">
        <v>46</v>
      </c>
      <c r="C48" s="264">
        <v>42</v>
      </c>
      <c r="D48" s="264">
        <v>46</v>
      </c>
      <c r="E48" s="264">
        <v>41</v>
      </c>
      <c r="F48" s="264">
        <v>50</v>
      </c>
      <c r="G48" s="264">
        <v>50</v>
      </c>
      <c r="H48" s="264">
        <v>50</v>
      </c>
      <c r="I48" s="264">
        <v>56</v>
      </c>
      <c r="J48" s="264">
        <v>59</v>
      </c>
    </row>
    <row r="49" spans="1:10" x14ac:dyDescent="0.25">
      <c r="A49" s="263" t="s">
        <v>1262</v>
      </c>
      <c r="B49" s="264">
        <v>18</v>
      </c>
      <c r="C49" s="264">
        <v>13</v>
      </c>
      <c r="D49" s="264">
        <v>11</v>
      </c>
      <c r="E49" s="264">
        <v>13</v>
      </c>
      <c r="F49" s="264">
        <v>15</v>
      </c>
      <c r="G49" s="264">
        <v>15</v>
      </c>
      <c r="H49" s="264">
        <v>15</v>
      </c>
      <c r="I49" s="264">
        <v>17</v>
      </c>
      <c r="J49" s="264">
        <v>18</v>
      </c>
    </row>
    <row r="50" spans="1:10" x14ac:dyDescent="0.25">
      <c r="A50" s="263" t="s">
        <v>1263</v>
      </c>
      <c r="B50" s="264">
        <v>78</v>
      </c>
      <c r="C50" s="264">
        <v>87</v>
      </c>
      <c r="D50" s="264">
        <v>106</v>
      </c>
      <c r="E50" s="264">
        <v>145</v>
      </c>
      <c r="F50" s="264">
        <v>153</v>
      </c>
      <c r="G50" s="264">
        <v>153</v>
      </c>
      <c r="H50" s="264">
        <v>183</v>
      </c>
      <c r="I50" s="264">
        <v>192</v>
      </c>
      <c r="J50" s="264">
        <v>191</v>
      </c>
    </row>
    <row r="51" spans="1:10" ht="12.75" customHeight="1" x14ac:dyDescent="0.3">
      <c r="A51" s="385"/>
      <c r="B51" s="385"/>
      <c r="C51" s="385"/>
      <c r="D51" s="385"/>
      <c r="E51" s="385"/>
      <c r="F51" s="385"/>
      <c r="G51" s="385"/>
      <c r="H51" s="385"/>
      <c r="I51" s="385"/>
      <c r="J51" s="385"/>
    </row>
    <row r="52" spans="1:10" x14ac:dyDescent="0.25">
      <c r="A52" s="263" t="s">
        <v>561</v>
      </c>
      <c r="B52" s="264">
        <f t="shared" ref="B52:G52" si="0">SUM(B5:B50)</f>
        <v>8250</v>
      </c>
      <c r="C52" s="264">
        <f t="shared" si="0"/>
        <v>8462</v>
      </c>
      <c r="D52" s="264">
        <f t="shared" si="0"/>
        <v>9148</v>
      </c>
      <c r="E52" s="264">
        <f t="shared" si="0"/>
        <v>10316</v>
      </c>
      <c r="F52" s="264">
        <f t="shared" si="0"/>
        <v>10551</v>
      </c>
      <c r="G52" s="264">
        <f t="shared" si="0"/>
        <v>11459</v>
      </c>
      <c r="H52" s="264">
        <f>SUM(H5:H50)</f>
        <v>11570</v>
      </c>
      <c r="I52" s="264">
        <f>SUM(I5:I50)</f>
        <v>11641</v>
      </c>
      <c r="J52" s="264">
        <f>SUM(J5:J50)</f>
        <v>11995</v>
      </c>
    </row>
    <row r="53" spans="1:10" x14ac:dyDescent="0.25">
      <c r="A53" s="263" t="s">
        <v>1265</v>
      </c>
      <c r="B53" s="264">
        <v>1637</v>
      </c>
      <c r="C53" s="264">
        <v>1639</v>
      </c>
      <c r="D53" s="264">
        <v>2001</v>
      </c>
      <c r="E53" s="264">
        <v>2083</v>
      </c>
      <c r="F53" s="264">
        <v>2068</v>
      </c>
      <c r="G53" s="264">
        <v>2374</v>
      </c>
      <c r="H53" s="264">
        <v>2360</v>
      </c>
      <c r="I53" s="264">
        <v>2330</v>
      </c>
      <c r="J53" s="264">
        <v>2349</v>
      </c>
    </row>
    <row r="54" spans="1:10" x14ac:dyDescent="0.25">
      <c r="A54" s="263" t="s">
        <v>1208</v>
      </c>
      <c r="B54" s="264">
        <v>60</v>
      </c>
      <c r="C54" s="264">
        <v>67</v>
      </c>
      <c r="D54" s="264">
        <v>85</v>
      </c>
      <c r="E54" s="264">
        <v>92</v>
      </c>
      <c r="F54" s="264">
        <v>94</v>
      </c>
      <c r="G54" s="264">
        <v>95</v>
      </c>
      <c r="H54" s="264">
        <v>108</v>
      </c>
      <c r="I54" s="264">
        <v>124</v>
      </c>
      <c r="J54" s="264">
        <v>136</v>
      </c>
    </row>
    <row r="55" spans="1:10" ht="12.75" customHeight="1" x14ac:dyDescent="0.3">
      <c r="A55" s="385"/>
      <c r="B55" s="385"/>
      <c r="C55" s="385"/>
      <c r="D55" s="385"/>
      <c r="E55" s="385"/>
      <c r="F55" s="385"/>
      <c r="G55" s="385"/>
      <c r="H55" s="385"/>
      <c r="I55" s="385"/>
      <c r="J55" s="385"/>
    </row>
    <row r="56" spans="1:10" x14ac:dyDescent="0.25">
      <c r="A56" s="261" t="s">
        <v>949</v>
      </c>
      <c r="B56" s="262">
        <f t="shared" ref="B56:G56" si="1">SUM(B52:B54)</f>
        <v>9947</v>
      </c>
      <c r="C56" s="262">
        <f t="shared" si="1"/>
        <v>10168</v>
      </c>
      <c r="D56" s="262">
        <f t="shared" si="1"/>
        <v>11234</v>
      </c>
      <c r="E56" s="262">
        <f t="shared" si="1"/>
        <v>12491</v>
      </c>
      <c r="F56" s="262">
        <f t="shared" si="1"/>
        <v>12713</v>
      </c>
      <c r="G56" s="262">
        <f t="shared" si="1"/>
        <v>13928</v>
      </c>
      <c r="H56" s="262">
        <f>SUM(H52:H54)</f>
        <v>14038</v>
      </c>
      <c r="I56" s="262">
        <f>SUM(I52:I54)</f>
        <v>14095</v>
      </c>
      <c r="J56" s="262">
        <f>SUM(J52:J54)</f>
        <v>14480</v>
      </c>
    </row>
    <row r="57" spans="1:10" x14ac:dyDescent="0.25">
      <c r="G57" s="266"/>
    </row>
  </sheetData>
  <mergeCells count="1">
    <mergeCell ref="A1:J1"/>
  </mergeCells>
  <phoneticPr fontId="15" type="noConversion"/>
  <printOptions horizontalCentered="1" verticalCentered="1"/>
  <pageMargins left="0.75" right="0.75" top="1" bottom="1" header="0.5" footer="0.25"/>
  <pageSetup scale="86" orientation="portrait" horizontalDpi="4294967292" verticalDpi="4294967292" r:id="rId1"/>
  <headerFooter alignWithMargins="0">
    <oddFooter xml:space="preserve">&amp;LSource: Office of Alumni Affairs
</oddFooter>
  </headerFooter>
  <webPublishItems count="1">
    <webPublishItem id="31672" divId="2001_2002 FACT BOOK FINAL COPY_31672" sourceType="sheet" destinationFile="C:\Documents and Settings\mkirkpatrick\My Documents\2004-2005 FACT BOOK\2004-2005 fact book WEB PAGES\04_05alumnibyCOUNTY.htm"/>
  </webPublishItem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workbookViewId="0">
      <selection sqref="A1:F1"/>
    </sheetView>
  </sheetViews>
  <sheetFormatPr defaultColWidth="6.6640625" defaultRowHeight="13.2" x14ac:dyDescent="0.25"/>
  <cols>
    <col min="1" max="1" width="11.6640625" style="1434" customWidth="1"/>
    <col min="2" max="5" width="15.6640625" style="1434" customWidth="1"/>
    <col min="6" max="6" width="11.6640625" style="1434" customWidth="1"/>
    <col min="7" max="8" width="10.6640625" style="1434" customWidth="1"/>
    <col min="9" max="9" width="9.109375" style="1434" customWidth="1"/>
    <col min="10" max="16384" width="6.6640625" style="1434"/>
  </cols>
  <sheetData>
    <row r="1" spans="1:8" ht="39.9" customHeight="1" x14ac:dyDescent="0.3">
      <c r="A1" s="1794" t="s">
        <v>1324</v>
      </c>
      <c r="B1" s="1794"/>
      <c r="C1" s="1794"/>
      <c r="D1" s="1794"/>
      <c r="E1" s="1794"/>
      <c r="F1" s="1794"/>
      <c r="G1" s="1578"/>
      <c r="H1" s="1578"/>
    </row>
    <row r="3" spans="1:8" ht="20.100000000000001" customHeight="1" x14ac:dyDescent="0.25">
      <c r="B3" s="1795" t="s">
        <v>1148</v>
      </c>
      <c r="C3" s="1797" t="s">
        <v>1325</v>
      </c>
      <c r="D3" s="1799" t="s">
        <v>1326</v>
      </c>
      <c r="E3" s="1799" t="s">
        <v>1327</v>
      </c>
      <c r="F3" s="1579"/>
    </row>
    <row r="4" spans="1:8" ht="20.100000000000001" customHeight="1" x14ac:dyDescent="0.25">
      <c r="B4" s="1796"/>
      <c r="C4" s="1798"/>
      <c r="D4" s="1800"/>
      <c r="E4" s="1800"/>
      <c r="F4" s="1579"/>
    </row>
    <row r="5" spans="1:8" x14ac:dyDescent="0.25">
      <c r="B5" s="1580"/>
      <c r="C5" s="1581"/>
      <c r="D5" s="1582"/>
      <c r="E5" s="1583"/>
      <c r="F5" s="1579"/>
    </row>
    <row r="6" spans="1:8" x14ac:dyDescent="0.25">
      <c r="B6" s="1584">
        <v>2008</v>
      </c>
      <c r="C6" s="1585">
        <v>2377</v>
      </c>
      <c r="D6" s="1586">
        <v>93.67</v>
      </c>
      <c r="E6" s="1587">
        <f>C6/D6</f>
        <v>25.376321127362015</v>
      </c>
      <c r="F6" s="1579"/>
    </row>
    <row r="7" spans="1:8" x14ac:dyDescent="0.25">
      <c r="B7" s="1580"/>
      <c r="C7" s="1581"/>
      <c r="D7" s="1582"/>
      <c r="E7" s="1583"/>
      <c r="F7" s="1579"/>
    </row>
    <row r="8" spans="1:8" x14ac:dyDescent="0.25">
      <c r="B8" s="1584">
        <v>2009</v>
      </c>
      <c r="C8" s="1585">
        <v>2647</v>
      </c>
      <c r="D8" s="1586">
        <v>92.58</v>
      </c>
      <c r="E8" s="1587">
        <f>C8/D8</f>
        <v>28.591488442428172</v>
      </c>
      <c r="F8" s="1579"/>
    </row>
    <row r="9" spans="1:8" x14ac:dyDescent="0.25">
      <c r="B9" s="1580"/>
      <c r="C9" s="1581"/>
      <c r="D9" s="1582"/>
      <c r="E9" s="1583"/>
      <c r="F9" s="1579"/>
    </row>
    <row r="10" spans="1:8" x14ac:dyDescent="0.25">
      <c r="B10" s="1584">
        <v>2010</v>
      </c>
      <c r="C10" s="1585">
        <v>2851</v>
      </c>
      <c r="D10" s="1586">
        <v>103.46</v>
      </c>
      <c r="E10" s="1587">
        <f>C10/D10</f>
        <v>27.556543591726271</v>
      </c>
      <c r="F10" s="1579"/>
    </row>
    <row r="11" spans="1:8" x14ac:dyDescent="0.25">
      <c r="B11" s="1580"/>
      <c r="C11" s="1581"/>
      <c r="D11" s="1582"/>
      <c r="E11" s="1583"/>
      <c r="F11" s="1579"/>
    </row>
    <row r="12" spans="1:8" x14ac:dyDescent="0.25">
      <c r="B12" s="1584">
        <v>2011</v>
      </c>
      <c r="C12" s="1585">
        <v>2849</v>
      </c>
      <c r="D12" s="1586">
        <v>112.79</v>
      </c>
      <c r="E12" s="1587">
        <f>C12/D12</f>
        <v>25.259331501019592</v>
      </c>
      <c r="F12" s="1579"/>
    </row>
    <row r="13" spans="1:8" x14ac:dyDescent="0.25">
      <c r="B13" s="1580"/>
      <c r="C13" s="1581"/>
      <c r="D13" s="1582"/>
      <c r="E13" s="1583"/>
      <c r="F13" s="1579"/>
    </row>
    <row r="14" spans="1:8" x14ac:dyDescent="0.25">
      <c r="B14" s="1584">
        <v>2012</v>
      </c>
      <c r="C14" s="1585">
        <v>2817</v>
      </c>
      <c r="D14" s="1586">
        <v>102.3</v>
      </c>
      <c r="E14" s="1587">
        <f>C14/D14</f>
        <v>27.536656891495603</v>
      </c>
      <c r="F14" s="1579"/>
    </row>
    <row r="15" spans="1:8" x14ac:dyDescent="0.25">
      <c r="H15" s="1588"/>
    </row>
  </sheetData>
  <mergeCells count="5">
    <mergeCell ref="A1:F1"/>
    <mergeCell ref="B3:B4"/>
    <mergeCell ref="C3:C4"/>
    <mergeCell ref="D3:D4"/>
    <mergeCell ref="E3:E4"/>
  </mergeCells>
  <pageMargins left="0.7" right="0.7" top="0.75" bottom="0.75" header="0.3" footer="0.3"/>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5"/>
  <sheetViews>
    <sheetView workbookViewId="0">
      <selection sqref="A1:G1"/>
    </sheetView>
  </sheetViews>
  <sheetFormatPr defaultColWidth="6.6640625" defaultRowHeight="13.2" x14ac:dyDescent="0.25"/>
  <cols>
    <col min="1" max="1" width="35.6640625" style="1434" customWidth="1"/>
    <col min="2" max="7" width="14.6640625" style="1434" customWidth="1"/>
    <col min="8" max="16384" width="6.6640625" style="1434"/>
  </cols>
  <sheetData>
    <row r="1" spans="1:7" ht="17.399999999999999" x14ac:dyDescent="0.3">
      <c r="A1" s="1801" t="s">
        <v>1632</v>
      </c>
      <c r="B1" s="1801"/>
      <c r="C1" s="1801"/>
      <c r="D1" s="1801"/>
      <c r="E1" s="1801"/>
      <c r="F1" s="1801"/>
      <c r="G1" s="1801"/>
    </row>
    <row r="2" spans="1:7" x14ac:dyDescent="0.25">
      <c r="A2" s="1589"/>
      <c r="B2" s="1589"/>
      <c r="C2" s="1589"/>
      <c r="D2" s="1589"/>
      <c r="E2" s="1589"/>
      <c r="F2" s="1589"/>
      <c r="G2" s="1589"/>
    </row>
    <row r="3" spans="1:7" ht="26.4" x14ac:dyDescent="0.25">
      <c r="A3" s="1590" t="s">
        <v>1328</v>
      </c>
      <c r="B3" s="1591" t="s">
        <v>1329</v>
      </c>
      <c r="C3" s="1591" t="s">
        <v>1330</v>
      </c>
      <c r="D3" s="1591" t="s">
        <v>1331</v>
      </c>
      <c r="E3" s="1591" t="s">
        <v>1332</v>
      </c>
      <c r="F3" s="1592" t="s">
        <v>1333</v>
      </c>
      <c r="G3" s="1592" t="s">
        <v>780</v>
      </c>
    </row>
    <row r="4" spans="1:7" x14ac:dyDescent="0.25">
      <c r="A4" s="1593"/>
      <c r="B4" s="1594"/>
      <c r="C4" s="1594"/>
      <c r="D4" s="1595"/>
      <c r="E4" s="1595"/>
      <c r="F4" s="1596"/>
      <c r="G4" s="1596"/>
    </row>
    <row r="5" spans="1:7" x14ac:dyDescent="0.25">
      <c r="A5" s="1597" t="s">
        <v>1334</v>
      </c>
      <c r="B5" s="1598"/>
      <c r="C5" s="1598">
        <v>2</v>
      </c>
      <c r="D5" s="1599">
        <v>5</v>
      </c>
      <c r="E5" s="1599"/>
      <c r="F5" s="1600"/>
      <c r="G5" s="1601">
        <f>SUM(B5:F5)</f>
        <v>7</v>
      </c>
    </row>
    <row r="6" spans="1:7" x14ac:dyDescent="0.25">
      <c r="A6" s="1593"/>
      <c r="B6" s="1594"/>
      <c r="C6" s="1594"/>
      <c r="D6" s="1595"/>
      <c r="E6" s="1595"/>
      <c r="F6" s="1596"/>
      <c r="G6" s="1596"/>
    </row>
    <row r="7" spans="1:7" x14ac:dyDescent="0.25">
      <c r="A7" s="1597" t="s">
        <v>1057</v>
      </c>
      <c r="B7" s="1598"/>
      <c r="C7" s="1598">
        <v>3</v>
      </c>
      <c r="D7" s="1599">
        <v>4</v>
      </c>
      <c r="E7" s="1599">
        <v>2</v>
      </c>
      <c r="F7" s="1600">
        <v>3</v>
      </c>
      <c r="G7" s="1601">
        <f>SUM(B7:F7)</f>
        <v>12</v>
      </c>
    </row>
    <row r="8" spans="1:7" x14ac:dyDescent="0.25">
      <c r="A8" s="1593"/>
      <c r="B8" s="1594"/>
      <c r="C8" s="1594"/>
      <c r="D8" s="1595"/>
      <c r="E8" s="1595"/>
      <c r="F8" s="1596"/>
      <c r="G8" s="1596"/>
    </row>
    <row r="9" spans="1:7" x14ac:dyDescent="0.25">
      <c r="A9" s="1597" t="s">
        <v>1335</v>
      </c>
      <c r="B9" s="1598">
        <v>4</v>
      </c>
      <c r="C9" s="1598">
        <v>3</v>
      </c>
      <c r="D9" s="1599">
        <v>5</v>
      </c>
      <c r="E9" s="1599">
        <v>2</v>
      </c>
      <c r="F9" s="1600"/>
      <c r="G9" s="1601">
        <f>SUM(B9:F9)</f>
        <v>14</v>
      </c>
    </row>
    <row r="10" spans="1:7" x14ac:dyDescent="0.25">
      <c r="A10" s="1593"/>
      <c r="B10" s="1594"/>
      <c r="C10" s="1594"/>
      <c r="D10" s="1595"/>
      <c r="E10" s="1595"/>
      <c r="F10" s="1596"/>
      <c r="G10" s="1596"/>
    </row>
    <row r="11" spans="1:7" x14ac:dyDescent="0.25">
      <c r="A11" s="1597" t="s">
        <v>1336</v>
      </c>
      <c r="B11" s="1598">
        <v>1</v>
      </c>
      <c r="C11" s="1598">
        <v>3</v>
      </c>
      <c r="D11" s="1599">
        <v>4</v>
      </c>
      <c r="E11" s="1599">
        <v>5</v>
      </c>
      <c r="F11" s="1600"/>
      <c r="G11" s="1601">
        <f>SUM(B11:F11)</f>
        <v>13</v>
      </c>
    </row>
    <row r="12" spans="1:7" x14ac:dyDescent="0.25">
      <c r="A12" s="1593"/>
      <c r="B12" s="1594"/>
      <c r="C12" s="1594"/>
      <c r="D12" s="1595"/>
      <c r="E12" s="1595"/>
      <c r="F12" s="1596"/>
      <c r="G12" s="1596"/>
    </row>
    <row r="13" spans="1:7" x14ac:dyDescent="0.25">
      <c r="A13" s="1597" t="s">
        <v>1337</v>
      </c>
      <c r="B13" s="1598">
        <v>1</v>
      </c>
      <c r="C13" s="1598">
        <v>4</v>
      </c>
      <c r="D13" s="1599">
        <v>6</v>
      </c>
      <c r="E13" s="1599">
        <v>6</v>
      </c>
      <c r="F13" s="1600"/>
      <c r="G13" s="1601">
        <f>SUM(B13:F13)</f>
        <v>17</v>
      </c>
    </row>
    <row r="14" spans="1:7" x14ac:dyDescent="0.25">
      <c r="A14" s="1593"/>
      <c r="B14" s="1594"/>
      <c r="C14" s="1594"/>
      <c r="D14" s="1595"/>
      <c r="E14" s="1595"/>
      <c r="F14" s="1596"/>
      <c r="G14" s="1596"/>
    </row>
    <row r="15" spans="1:7" x14ac:dyDescent="0.25">
      <c r="A15" s="1597" t="s">
        <v>1338</v>
      </c>
      <c r="B15" s="1598">
        <v>2</v>
      </c>
      <c r="C15" s="1598">
        <v>2</v>
      </c>
      <c r="D15" s="1599">
        <v>2</v>
      </c>
      <c r="E15" s="1599"/>
      <c r="F15" s="1600"/>
      <c r="G15" s="1601">
        <f>SUM(B15:F15)</f>
        <v>6</v>
      </c>
    </row>
    <row r="16" spans="1:7" x14ac:dyDescent="0.25">
      <c r="A16" s="1593"/>
      <c r="B16" s="1594"/>
      <c r="C16" s="1594"/>
      <c r="D16" s="1595"/>
      <c r="E16" s="1595"/>
      <c r="F16" s="1596"/>
      <c r="G16" s="1596"/>
    </row>
    <row r="17" spans="1:7" x14ac:dyDescent="0.25">
      <c r="A17" s="1597" t="s">
        <v>1004</v>
      </c>
      <c r="B17" s="1598">
        <v>1</v>
      </c>
      <c r="C17" s="1598">
        <v>1</v>
      </c>
      <c r="D17" s="1599">
        <v>5</v>
      </c>
      <c r="E17" s="1599"/>
      <c r="F17" s="1600"/>
      <c r="G17" s="1601">
        <f>SUM(B17:F17)</f>
        <v>7</v>
      </c>
    </row>
    <row r="18" spans="1:7" x14ac:dyDescent="0.25">
      <c r="A18" s="1593"/>
      <c r="B18" s="1594"/>
      <c r="C18" s="1594"/>
      <c r="D18" s="1595"/>
      <c r="E18" s="1595"/>
      <c r="F18" s="1596"/>
      <c r="G18" s="1596"/>
    </row>
    <row r="19" spans="1:7" x14ac:dyDescent="0.25">
      <c r="A19" s="1597" t="s">
        <v>1339</v>
      </c>
      <c r="B19" s="1598">
        <v>2</v>
      </c>
      <c r="C19" s="1598">
        <v>2</v>
      </c>
      <c r="D19" s="1599">
        <v>5</v>
      </c>
      <c r="E19" s="1599">
        <v>3</v>
      </c>
      <c r="F19" s="1600"/>
      <c r="G19" s="1601">
        <f>SUM(B19:F19)</f>
        <v>12</v>
      </c>
    </row>
    <row r="20" spans="1:7" x14ac:dyDescent="0.25">
      <c r="A20" s="1593"/>
      <c r="B20" s="1594"/>
      <c r="C20" s="1594"/>
      <c r="D20" s="1595"/>
      <c r="E20" s="1595"/>
      <c r="F20" s="1596"/>
      <c r="G20" s="1596"/>
    </row>
    <row r="21" spans="1:7" x14ac:dyDescent="0.25">
      <c r="A21" s="1597" t="s">
        <v>1072</v>
      </c>
      <c r="B21" s="1598"/>
      <c r="C21" s="1598">
        <v>4</v>
      </c>
      <c r="D21" s="1599">
        <v>1</v>
      </c>
      <c r="E21" s="1599">
        <v>1</v>
      </c>
      <c r="F21" s="1600"/>
      <c r="G21" s="1601">
        <f>SUM(B21:F21)</f>
        <v>6</v>
      </c>
    </row>
    <row r="22" spans="1:7" x14ac:dyDescent="0.25">
      <c r="A22" s="1593"/>
      <c r="B22" s="1594"/>
      <c r="C22" s="1594"/>
      <c r="D22" s="1595"/>
      <c r="E22" s="1595"/>
      <c r="F22" s="1596"/>
      <c r="G22" s="1596"/>
    </row>
    <row r="23" spans="1:7" x14ac:dyDescent="0.25">
      <c r="A23" s="1597" t="s">
        <v>996</v>
      </c>
      <c r="B23" s="1598"/>
      <c r="C23" s="1598">
        <v>2</v>
      </c>
      <c r="D23" s="1599">
        <v>4</v>
      </c>
      <c r="E23" s="1599">
        <v>4</v>
      </c>
      <c r="F23" s="1600"/>
      <c r="G23" s="1601">
        <f>SUM(B23:F23)</f>
        <v>10</v>
      </c>
    </row>
    <row r="24" spans="1:7" x14ac:dyDescent="0.25">
      <c r="A24" s="1593"/>
      <c r="B24" s="1594"/>
      <c r="C24" s="1594"/>
      <c r="D24" s="1595"/>
      <c r="E24" s="1595"/>
      <c r="F24" s="1596"/>
      <c r="G24" s="1596"/>
    </row>
    <row r="25" spans="1:7" x14ac:dyDescent="0.25">
      <c r="A25" s="1602" t="s">
        <v>1005</v>
      </c>
      <c r="B25" s="1598">
        <v>1</v>
      </c>
      <c r="C25" s="1598">
        <v>1</v>
      </c>
      <c r="D25" s="1599">
        <v>4</v>
      </c>
      <c r="E25" s="1599">
        <v>1</v>
      </c>
      <c r="F25" s="1600"/>
      <c r="G25" s="1601">
        <f>SUM(B25:F25)</f>
        <v>7</v>
      </c>
    </row>
    <row r="26" spans="1:7" x14ac:dyDescent="0.25">
      <c r="A26" s="1593"/>
      <c r="B26" s="1594"/>
      <c r="C26" s="1594"/>
      <c r="D26" s="1595"/>
      <c r="E26" s="1595"/>
      <c r="F26" s="1596"/>
      <c r="G26" s="1596"/>
    </row>
    <row r="27" spans="1:7" x14ac:dyDescent="0.25">
      <c r="A27" s="1597" t="s">
        <v>1340</v>
      </c>
      <c r="B27" s="1598">
        <v>1</v>
      </c>
      <c r="C27" s="1598">
        <v>3</v>
      </c>
      <c r="D27" s="1599">
        <v>3</v>
      </c>
      <c r="E27" s="1599">
        <v>4</v>
      </c>
      <c r="F27" s="1600">
        <v>1</v>
      </c>
      <c r="G27" s="1601">
        <f>SUM(B27:F27)</f>
        <v>12</v>
      </c>
    </row>
    <row r="28" spans="1:7" x14ac:dyDescent="0.25">
      <c r="A28" s="1593"/>
      <c r="B28" s="1594"/>
      <c r="C28" s="1594"/>
      <c r="D28" s="1595"/>
      <c r="E28" s="1595"/>
      <c r="F28" s="1596"/>
      <c r="G28" s="1596"/>
    </row>
    <row r="29" spans="1:7" x14ac:dyDescent="0.25">
      <c r="A29" s="1597" t="s">
        <v>1341</v>
      </c>
      <c r="B29" s="1598">
        <v>1</v>
      </c>
      <c r="C29" s="1598">
        <v>2</v>
      </c>
      <c r="D29" s="1599">
        <v>3</v>
      </c>
      <c r="E29" s="1599">
        <v>1</v>
      </c>
      <c r="F29" s="1600"/>
      <c r="G29" s="1601">
        <f>SUM(B29:F29)</f>
        <v>7</v>
      </c>
    </row>
    <row r="30" spans="1:7" x14ac:dyDescent="0.25">
      <c r="A30" s="1593"/>
      <c r="B30" s="1594"/>
      <c r="C30" s="1594"/>
      <c r="D30" s="1595"/>
      <c r="E30" s="1595"/>
      <c r="F30" s="1596"/>
      <c r="G30" s="1596"/>
    </row>
    <row r="31" spans="1:7" x14ac:dyDescent="0.25">
      <c r="A31" s="1597" t="s">
        <v>1047</v>
      </c>
      <c r="B31" s="1598">
        <v>2</v>
      </c>
      <c r="C31" s="1598">
        <v>2</v>
      </c>
      <c r="D31" s="1599">
        <v>1</v>
      </c>
      <c r="E31" s="1599">
        <v>1</v>
      </c>
      <c r="F31" s="1600"/>
      <c r="G31" s="1601">
        <f>SUM(B31:F31)</f>
        <v>6</v>
      </c>
    </row>
    <row r="32" spans="1:7" x14ac:dyDescent="0.25">
      <c r="A32" s="1593"/>
      <c r="B32" s="1594"/>
      <c r="C32" s="1594"/>
      <c r="D32" s="1595"/>
      <c r="E32" s="1595"/>
      <c r="F32" s="1596"/>
      <c r="G32" s="1596"/>
    </row>
    <row r="33" spans="1:7" x14ac:dyDescent="0.25">
      <c r="A33" s="1603" t="s">
        <v>780</v>
      </c>
      <c r="B33" s="1604">
        <f t="shared" ref="B33:G33" si="0">SUM(B4:B32)</f>
        <v>16</v>
      </c>
      <c r="C33" s="1604">
        <f t="shared" si="0"/>
        <v>34</v>
      </c>
      <c r="D33" s="1605">
        <f t="shared" si="0"/>
        <v>52</v>
      </c>
      <c r="E33" s="1605">
        <f t="shared" si="0"/>
        <v>30</v>
      </c>
      <c r="F33" s="1601">
        <f t="shared" si="0"/>
        <v>4</v>
      </c>
      <c r="G33" s="1606">
        <f t="shared" si="0"/>
        <v>136</v>
      </c>
    </row>
    <row r="35" spans="1:7" x14ac:dyDescent="0.25">
      <c r="A35" s="1437"/>
    </row>
  </sheetData>
  <mergeCells count="1">
    <mergeCell ref="A1:G1"/>
  </mergeCells>
  <printOptions horizontalCentered="1" verticalCentered="1"/>
  <pageMargins left="0.5" right="0.5" top="1" bottom="1" header="0.5" footer="0.5"/>
  <pageSetup orientation="landscape" r:id="rId1"/>
  <headerFooter alignWithMargins="0">
    <oddFooter>&amp;R&amp;8Source: Office of the Budget Director</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0"/>
  <sheetViews>
    <sheetView workbookViewId="0"/>
  </sheetViews>
  <sheetFormatPr defaultColWidth="6.6640625" defaultRowHeight="13.2" x14ac:dyDescent="0.25"/>
  <cols>
    <col min="1" max="1" width="35.6640625" style="1434" customWidth="1"/>
    <col min="2" max="4" width="10.6640625" style="1434" customWidth="1"/>
    <col min="5" max="16384" width="6.6640625" style="1434"/>
  </cols>
  <sheetData>
    <row r="1" spans="1:5" ht="17.399999999999999" x14ac:dyDescent="0.25">
      <c r="A1" s="1607" t="s">
        <v>1633</v>
      </c>
      <c r="B1" s="1607"/>
      <c r="C1" s="1607"/>
      <c r="D1" s="1607"/>
      <c r="E1" s="1589"/>
    </row>
    <row r="2" spans="1:5" ht="17.399999999999999" x14ac:dyDescent="0.25">
      <c r="A2" s="1607" t="s">
        <v>1342</v>
      </c>
      <c r="B2" s="1607"/>
      <c r="C2" s="1607"/>
      <c r="D2" s="1607"/>
      <c r="E2" s="1589"/>
    </row>
    <row r="3" spans="1:5" ht="17.399999999999999" x14ac:dyDescent="0.25">
      <c r="A3" s="1607" t="s">
        <v>1343</v>
      </c>
      <c r="B3" s="1607"/>
      <c r="C3" s="1607"/>
      <c r="D3" s="1607"/>
      <c r="E3" s="1589"/>
    </row>
    <row r="4" spans="1:5" ht="13.8" thickBot="1" x14ac:dyDescent="0.3">
      <c r="A4" s="1589"/>
      <c r="B4" s="1608"/>
      <c r="C4" s="1608"/>
      <c r="D4" s="1608"/>
      <c r="E4" s="1589"/>
    </row>
    <row r="5" spans="1:5" ht="52.8" x14ac:dyDescent="0.25">
      <c r="A5" s="1609" t="s">
        <v>1344</v>
      </c>
      <c r="B5" s="1610" t="s">
        <v>1345</v>
      </c>
      <c r="C5" s="1610" t="s">
        <v>1346</v>
      </c>
      <c r="D5" s="1611" t="s">
        <v>1347</v>
      </c>
      <c r="E5" s="1589"/>
    </row>
    <row r="6" spans="1:5" x14ac:dyDescent="0.25">
      <c r="A6" s="1612"/>
      <c r="B6" s="1594"/>
      <c r="C6" s="1613"/>
      <c r="D6" s="1614"/>
      <c r="E6" s="1589"/>
    </row>
    <row r="7" spans="1:5" x14ac:dyDescent="0.25">
      <c r="A7" s="1615" t="s">
        <v>1334</v>
      </c>
      <c r="B7" s="1598">
        <v>7</v>
      </c>
      <c r="C7" s="1616">
        <v>1</v>
      </c>
      <c r="D7" s="1617">
        <v>6</v>
      </c>
      <c r="E7" s="1589"/>
    </row>
    <row r="8" spans="1:5" x14ac:dyDescent="0.25">
      <c r="A8" s="1612"/>
      <c r="B8" s="1594"/>
      <c r="C8" s="1613"/>
      <c r="D8" s="1614"/>
      <c r="E8" s="1589"/>
    </row>
    <row r="9" spans="1:5" x14ac:dyDescent="0.25">
      <c r="A9" s="1615" t="s">
        <v>1057</v>
      </c>
      <c r="B9" s="1598">
        <v>12</v>
      </c>
      <c r="C9" s="1616">
        <v>3</v>
      </c>
      <c r="D9" s="1617">
        <v>6</v>
      </c>
      <c r="E9" s="1589"/>
    </row>
    <row r="10" spans="1:5" x14ac:dyDescent="0.25">
      <c r="A10" s="1612"/>
      <c r="B10" s="1594"/>
      <c r="C10" s="1613"/>
      <c r="D10" s="1614"/>
      <c r="E10" s="1589"/>
    </row>
    <row r="11" spans="1:5" x14ac:dyDescent="0.25">
      <c r="A11" s="1615" t="s">
        <v>1335</v>
      </c>
      <c r="B11" s="1598">
        <v>14</v>
      </c>
      <c r="C11" s="1616">
        <v>7</v>
      </c>
      <c r="D11" s="1617">
        <v>9</v>
      </c>
      <c r="E11" s="1589"/>
    </row>
    <row r="12" spans="1:5" x14ac:dyDescent="0.25">
      <c r="A12" s="1612"/>
      <c r="B12" s="1594"/>
      <c r="C12" s="1613"/>
      <c r="D12" s="1614"/>
      <c r="E12" s="1589"/>
    </row>
    <row r="13" spans="1:5" x14ac:dyDescent="0.25">
      <c r="A13" s="1615" t="s">
        <v>1336</v>
      </c>
      <c r="B13" s="1598">
        <v>13</v>
      </c>
      <c r="C13" s="1616">
        <v>4</v>
      </c>
      <c r="D13" s="1617">
        <v>7</v>
      </c>
      <c r="E13" s="1589"/>
    </row>
    <row r="14" spans="1:5" x14ac:dyDescent="0.25">
      <c r="A14" s="1612"/>
      <c r="B14" s="1594"/>
      <c r="C14" s="1613"/>
      <c r="D14" s="1614"/>
      <c r="E14" s="1589"/>
    </row>
    <row r="15" spans="1:5" x14ac:dyDescent="0.25">
      <c r="A15" s="1615" t="s">
        <v>1337</v>
      </c>
      <c r="B15" s="1598">
        <v>17</v>
      </c>
      <c r="C15" s="1616">
        <v>4</v>
      </c>
      <c r="D15" s="1617">
        <v>10</v>
      </c>
      <c r="E15" s="1589"/>
    </row>
    <row r="16" spans="1:5" x14ac:dyDescent="0.25">
      <c r="A16" s="1612"/>
      <c r="B16" s="1594"/>
      <c r="C16" s="1613"/>
      <c r="D16" s="1614"/>
      <c r="E16" s="1589"/>
    </row>
    <row r="17" spans="1:5" x14ac:dyDescent="0.25">
      <c r="A17" s="1615" t="s">
        <v>1338</v>
      </c>
      <c r="B17" s="1598">
        <v>6</v>
      </c>
      <c r="C17" s="1616">
        <v>4</v>
      </c>
      <c r="D17" s="1617">
        <v>6</v>
      </c>
      <c r="E17" s="1589"/>
    </row>
    <row r="18" spans="1:5" x14ac:dyDescent="0.25">
      <c r="A18" s="1612"/>
      <c r="B18" s="1594"/>
      <c r="C18" s="1613"/>
      <c r="D18" s="1614"/>
      <c r="E18" s="1589"/>
    </row>
    <row r="19" spans="1:5" x14ac:dyDescent="0.25">
      <c r="A19" s="1615" t="s">
        <v>1004</v>
      </c>
      <c r="B19" s="1598">
        <v>7</v>
      </c>
      <c r="C19" s="1616">
        <v>2</v>
      </c>
      <c r="D19" s="1617">
        <v>5</v>
      </c>
      <c r="E19" s="1589"/>
    </row>
    <row r="20" spans="1:5" x14ac:dyDescent="0.25">
      <c r="A20" s="1612"/>
      <c r="B20" s="1594"/>
      <c r="C20" s="1613"/>
      <c r="D20" s="1614"/>
      <c r="E20" s="1589"/>
    </row>
    <row r="21" spans="1:5" x14ac:dyDescent="0.25">
      <c r="A21" s="1615" t="s">
        <v>1339</v>
      </c>
      <c r="B21" s="1598">
        <v>12</v>
      </c>
      <c r="C21" s="1616">
        <v>5</v>
      </c>
      <c r="D21" s="1617">
        <v>8</v>
      </c>
      <c r="E21" s="1589"/>
    </row>
    <row r="22" spans="1:5" x14ac:dyDescent="0.25">
      <c r="A22" s="1612"/>
      <c r="B22" s="1594"/>
      <c r="C22" s="1613"/>
      <c r="D22" s="1614"/>
      <c r="E22" s="1589"/>
    </row>
    <row r="23" spans="1:5" x14ac:dyDescent="0.25">
      <c r="A23" s="1615" t="s">
        <v>1072</v>
      </c>
      <c r="B23" s="1598">
        <v>6</v>
      </c>
      <c r="C23" s="1616">
        <v>3</v>
      </c>
      <c r="D23" s="1617">
        <v>4</v>
      </c>
      <c r="E23" s="1589"/>
    </row>
    <row r="24" spans="1:5" x14ac:dyDescent="0.25">
      <c r="A24" s="1612"/>
      <c r="B24" s="1594"/>
      <c r="C24" s="1613"/>
      <c r="D24" s="1614"/>
      <c r="E24" s="1589"/>
    </row>
    <row r="25" spans="1:5" x14ac:dyDescent="0.25">
      <c r="A25" s="1615" t="s">
        <v>996</v>
      </c>
      <c r="B25" s="1598">
        <v>10</v>
      </c>
      <c r="C25" s="1616">
        <v>5</v>
      </c>
      <c r="D25" s="1617">
        <v>1</v>
      </c>
      <c r="E25" s="1589"/>
    </row>
    <row r="26" spans="1:5" x14ac:dyDescent="0.25">
      <c r="A26" s="1612"/>
      <c r="B26" s="1594"/>
      <c r="C26" s="1613"/>
      <c r="D26" s="1614"/>
      <c r="E26" s="1589"/>
    </row>
    <row r="27" spans="1:5" x14ac:dyDescent="0.25">
      <c r="A27" s="1615" t="s">
        <v>1005</v>
      </c>
      <c r="B27" s="1598">
        <v>7</v>
      </c>
      <c r="C27" s="1616">
        <v>2</v>
      </c>
      <c r="D27" s="1617">
        <v>4</v>
      </c>
      <c r="E27" s="1589"/>
    </row>
    <row r="28" spans="1:5" x14ac:dyDescent="0.25">
      <c r="A28" s="1612"/>
      <c r="B28" s="1594"/>
      <c r="C28" s="1613"/>
      <c r="D28" s="1614"/>
      <c r="E28" s="1589"/>
    </row>
    <row r="29" spans="1:5" x14ac:dyDescent="0.25">
      <c r="A29" s="1615" t="s">
        <v>1348</v>
      </c>
      <c r="B29" s="1598">
        <v>12</v>
      </c>
      <c r="C29" s="1616">
        <v>5</v>
      </c>
      <c r="D29" s="1617">
        <v>8</v>
      </c>
      <c r="E29" s="1589"/>
    </row>
    <row r="30" spans="1:5" x14ac:dyDescent="0.25">
      <c r="A30" s="1612"/>
      <c r="B30" s="1594"/>
      <c r="C30" s="1613"/>
      <c r="D30" s="1614"/>
      <c r="E30" s="1589"/>
    </row>
    <row r="31" spans="1:5" x14ac:dyDescent="0.25">
      <c r="A31" s="1615" t="s">
        <v>1341</v>
      </c>
      <c r="B31" s="1598">
        <v>7</v>
      </c>
      <c r="C31" s="1616">
        <v>3</v>
      </c>
      <c r="D31" s="1617">
        <v>6</v>
      </c>
      <c r="E31" s="1589"/>
    </row>
    <row r="32" spans="1:5" x14ac:dyDescent="0.25">
      <c r="A32" s="1612"/>
      <c r="B32" s="1594"/>
      <c r="C32" s="1613"/>
      <c r="D32" s="1614"/>
      <c r="E32" s="1589"/>
    </row>
    <row r="33" spans="1:5" x14ac:dyDescent="0.25">
      <c r="A33" s="1615" t="s">
        <v>1047</v>
      </c>
      <c r="B33" s="1598">
        <v>6</v>
      </c>
      <c r="C33" s="1616">
        <v>3</v>
      </c>
      <c r="D33" s="1617">
        <v>4</v>
      </c>
      <c r="E33" s="1589"/>
    </row>
    <row r="34" spans="1:5" x14ac:dyDescent="0.25">
      <c r="A34" s="1612"/>
      <c r="B34" s="1594"/>
      <c r="C34" s="1613"/>
      <c r="D34" s="1614"/>
      <c r="E34" s="1589"/>
    </row>
    <row r="35" spans="1:5" ht="13.8" thickBot="1" x14ac:dyDescent="0.3">
      <c r="A35" s="1618" t="s">
        <v>780</v>
      </c>
      <c r="B35" s="1619">
        <f>SUM(B7:B34)</f>
        <v>136</v>
      </c>
      <c r="C35" s="1619">
        <f>SUM(C7:C34)</f>
        <v>51</v>
      </c>
      <c r="D35" s="1620">
        <f>SUM(D7:D34)</f>
        <v>84</v>
      </c>
      <c r="E35" s="1589"/>
    </row>
    <row r="39" spans="1:5" x14ac:dyDescent="0.25">
      <c r="B39" s="1621"/>
      <c r="C39" s="1621"/>
      <c r="D39" s="1621"/>
    </row>
    <row r="40" spans="1:5" x14ac:dyDescent="0.25">
      <c r="B40" s="1621"/>
      <c r="C40" s="1621"/>
      <c r="D40" s="1621"/>
    </row>
  </sheetData>
  <printOptions horizontalCentered="1" verticalCentered="1"/>
  <pageMargins left="0.75" right="0.75" top="1" bottom="1" header="0.5" footer="0.5"/>
  <pageSetup orientation="portrait" r:id="rId1"/>
  <headerFooter alignWithMargins="0">
    <oddFooter>&amp;L&amp;7Source: Office of the Budget Director</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35"/>
  <sheetViews>
    <sheetView workbookViewId="0"/>
  </sheetViews>
  <sheetFormatPr defaultColWidth="6.6640625" defaultRowHeight="13.2" x14ac:dyDescent="0.25"/>
  <cols>
    <col min="1" max="2" width="6.6640625" style="1434" customWidth="1"/>
    <col min="3" max="3" width="20.6640625" style="1434" customWidth="1"/>
    <col min="4" max="6" width="7.88671875" style="1434" customWidth="1"/>
    <col min="7" max="16384" width="6.6640625" style="1434"/>
  </cols>
  <sheetData>
    <row r="1" spans="2:6" ht="69" customHeight="1" x14ac:dyDescent="0.25">
      <c r="C1" s="1802" t="s">
        <v>1634</v>
      </c>
      <c r="D1" s="1802"/>
      <c r="E1" s="1802"/>
      <c r="F1" s="1802"/>
    </row>
    <row r="2" spans="2:6" ht="13.8" thickBot="1" x14ac:dyDescent="0.3"/>
    <row r="3" spans="2:6" x14ac:dyDescent="0.25">
      <c r="C3" s="1622" t="s">
        <v>1349</v>
      </c>
      <c r="D3" s="1623" t="s">
        <v>932</v>
      </c>
      <c r="E3" s="1623" t="s">
        <v>933</v>
      </c>
      <c r="F3" s="1624" t="s">
        <v>495</v>
      </c>
    </row>
    <row r="4" spans="2:6" x14ac:dyDescent="0.25">
      <c r="B4" s="1579"/>
      <c r="C4" s="1580"/>
      <c r="D4" s="1625"/>
      <c r="E4" s="1625"/>
      <c r="F4" s="1626"/>
    </row>
    <row r="5" spans="2:6" x14ac:dyDescent="0.25">
      <c r="B5" s="1579"/>
      <c r="C5" s="1627" t="s">
        <v>1350</v>
      </c>
      <c r="D5" s="1445">
        <v>9</v>
      </c>
      <c r="E5" s="1445">
        <v>7</v>
      </c>
      <c r="F5" s="1628">
        <f>SUM(D5:E5)</f>
        <v>16</v>
      </c>
    </row>
    <row r="6" spans="2:6" x14ac:dyDescent="0.25">
      <c r="B6" s="1579"/>
      <c r="C6" s="1580"/>
      <c r="D6" s="1625"/>
      <c r="E6" s="1625"/>
      <c r="F6" s="1626"/>
    </row>
    <row r="7" spans="2:6" x14ac:dyDescent="0.25">
      <c r="B7" s="1579"/>
      <c r="C7" s="1627" t="s">
        <v>1351</v>
      </c>
      <c r="D7" s="1445">
        <v>19</v>
      </c>
      <c r="E7" s="1445">
        <v>15</v>
      </c>
      <c r="F7" s="1628">
        <f>SUM(D7:E7)</f>
        <v>34</v>
      </c>
    </row>
    <row r="8" spans="2:6" x14ac:dyDescent="0.25">
      <c r="B8" s="1579"/>
      <c r="C8" s="1580"/>
      <c r="D8" s="1625"/>
      <c r="E8" s="1625"/>
      <c r="F8" s="1626"/>
    </row>
    <row r="9" spans="2:6" x14ac:dyDescent="0.25">
      <c r="B9" s="1579"/>
      <c r="C9" s="1627" t="s">
        <v>1352</v>
      </c>
      <c r="D9" s="1445">
        <v>30</v>
      </c>
      <c r="E9" s="1445">
        <v>22</v>
      </c>
      <c r="F9" s="1628">
        <f>SUM(D9:E9)</f>
        <v>52</v>
      </c>
    </row>
    <row r="10" spans="2:6" x14ac:dyDescent="0.25">
      <c r="B10" s="1579"/>
      <c r="C10" s="1580"/>
      <c r="D10" s="1625"/>
      <c r="E10" s="1625"/>
      <c r="F10" s="1626"/>
    </row>
    <row r="11" spans="2:6" x14ac:dyDescent="0.25">
      <c r="B11" s="1579"/>
      <c r="C11" s="1627" t="s">
        <v>1353</v>
      </c>
      <c r="D11" s="1445">
        <v>8</v>
      </c>
      <c r="E11" s="1445">
        <v>22</v>
      </c>
      <c r="F11" s="1628">
        <f>SUM(D11:E11)</f>
        <v>30</v>
      </c>
    </row>
    <row r="12" spans="2:6" x14ac:dyDescent="0.25">
      <c r="B12" s="1579"/>
      <c r="C12" s="1580"/>
      <c r="D12" s="1625"/>
      <c r="E12" s="1625"/>
      <c r="F12" s="1626"/>
    </row>
    <row r="13" spans="2:6" x14ac:dyDescent="0.25">
      <c r="B13" s="1579"/>
      <c r="C13" s="1627" t="s">
        <v>1354</v>
      </c>
      <c r="D13" s="1445"/>
      <c r="E13" s="1445">
        <v>4</v>
      </c>
      <c r="F13" s="1628">
        <f>SUM(D13:E13)</f>
        <v>4</v>
      </c>
    </row>
    <row r="14" spans="2:6" x14ac:dyDescent="0.25">
      <c r="B14" s="1579"/>
      <c r="C14" s="1580"/>
      <c r="D14" s="1625"/>
      <c r="E14" s="1625"/>
      <c r="F14" s="1626"/>
    </row>
    <row r="15" spans="2:6" ht="13.8" thickBot="1" x14ac:dyDescent="0.3">
      <c r="B15" s="1579"/>
      <c r="C15" s="1629" t="s">
        <v>780</v>
      </c>
      <c r="D15" s="1630">
        <f>SUM(D5:D13)</f>
        <v>66</v>
      </c>
      <c r="E15" s="1630">
        <f>SUM(E5:E13)</f>
        <v>70</v>
      </c>
      <c r="F15" s="1631">
        <f>SUM(F5:F13)</f>
        <v>136</v>
      </c>
    </row>
    <row r="16" spans="2:6" x14ac:dyDescent="0.25">
      <c r="B16" s="1579"/>
      <c r="C16" s="1579"/>
      <c r="D16" s="1579"/>
      <c r="E16" s="1579"/>
      <c r="F16" s="1579"/>
    </row>
    <row r="17" spans="2:6" ht="33.75" customHeight="1" x14ac:dyDescent="0.25">
      <c r="B17" s="1579"/>
      <c r="C17" s="1803" t="s">
        <v>1355</v>
      </c>
      <c r="D17" s="1803"/>
      <c r="E17" s="1803"/>
      <c r="F17" s="1803"/>
    </row>
    <row r="18" spans="2:6" x14ac:dyDescent="0.25">
      <c r="B18" s="1579"/>
      <c r="C18" s="1579"/>
      <c r="D18" s="1579"/>
      <c r="E18" s="1579"/>
      <c r="F18" s="1579"/>
    </row>
    <row r="19" spans="2:6" x14ac:dyDescent="0.25">
      <c r="B19" s="1632"/>
      <c r="C19" s="1632"/>
      <c r="D19" s="1633"/>
      <c r="E19" s="1633"/>
      <c r="F19" s="1634"/>
    </row>
    <row r="20" spans="2:6" x14ac:dyDescent="0.25">
      <c r="B20" s="1632"/>
      <c r="C20" s="1632"/>
      <c r="D20" s="1633"/>
      <c r="E20" s="1633"/>
      <c r="F20" s="1634"/>
    </row>
    <row r="21" spans="2:6" x14ac:dyDescent="0.25">
      <c r="B21" s="1632"/>
      <c r="C21" s="1632"/>
      <c r="D21" s="1633"/>
      <c r="E21" s="1633"/>
      <c r="F21" s="1634"/>
    </row>
    <row r="22" spans="2:6" x14ac:dyDescent="0.25">
      <c r="B22" s="1632"/>
      <c r="C22" s="1632"/>
      <c r="D22" s="1633"/>
      <c r="E22" s="1633"/>
      <c r="F22" s="1634"/>
    </row>
    <row r="23" spans="2:6" x14ac:dyDescent="0.25">
      <c r="B23" s="1632"/>
      <c r="C23" s="1632"/>
      <c r="D23" s="1633"/>
      <c r="E23" s="1633"/>
      <c r="F23" s="1634"/>
    </row>
    <row r="24" spans="2:6" x14ac:dyDescent="0.25">
      <c r="B24" s="1632"/>
      <c r="C24" s="1632"/>
      <c r="D24" s="1633"/>
      <c r="E24" s="1633"/>
      <c r="F24" s="1634"/>
    </row>
    <row r="25" spans="2:6" x14ac:dyDescent="0.25">
      <c r="B25" s="1632"/>
      <c r="C25" s="1632"/>
      <c r="D25" s="1633"/>
      <c r="E25" s="1633"/>
      <c r="F25" s="1634"/>
    </row>
    <row r="26" spans="2:6" x14ac:dyDescent="0.25">
      <c r="B26" s="1632"/>
      <c r="C26" s="1632"/>
      <c r="D26" s="1633"/>
      <c r="E26" s="1633"/>
      <c r="F26" s="1634"/>
    </row>
    <row r="27" spans="2:6" x14ac:dyDescent="0.25">
      <c r="B27" s="1632"/>
      <c r="C27" s="1632"/>
      <c r="D27" s="1633"/>
      <c r="E27" s="1633"/>
      <c r="F27" s="1634"/>
    </row>
    <row r="28" spans="2:6" x14ac:dyDescent="0.25">
      <c r="B28" s="1632"/>
      <c r="C28" s="1632"/>
      <c r="D28" s="1633"/>
      <c r="E28" s="1633"/>
      <c r="F28" s="1634"/>
    </row>
    <row r="29" spans="2:6" x14ac:dyDescent="0.25">
      <c r="B29" s="1632"/>
      <c r="C29" s="1632"/>
      <c r="D29" s="1633"/>
      <c r="E29" s="1633"/>
      <c r="F29" s="1634"/>
    </row>
    <row r="30" spans="2:6" x14ac:dyDescent="0.25">
      <c r="B30" s="1632"/>
      <c r="C30" s="1632"/>
      <c r="D30" s="1633"/>
      <c r="E30" s="1633"/>
      <c r="F30" s="1634"/>
    </row>
    <row r="31" spans="2:6" x14ac:dyDescent="0.25">
      <c r="B31" s="1632"/>
      <c r="C31" s="1632"/>
      <c r="D31" s="1633"/>
      <c r="E31" s="1633"/>
      <c r="F31" s="1634"/>
    </row>
    <row r="32" spans="2:6" x14ac:dyDescent="0.25">
      <c r="B32" s="1632"/>
      <c r="C32" s="1632"/>
      <c r="D32" s="1633"/>
      <c r="E32" s="1633"/>
      <c r="F32" s="1634"/>
    </row>
    <row r="33" spans="2:6" x14ac:dyDescent="0.25">
      <c r="B33" s="1632"/>
      <c r="C33" s="1632"/>
      <c r="D33" s="1633"/>
      <c r="E33" s="1633"/>
      <c r="F33" s="1634"/>
    </row>
    <row r="34" spans="2:6" x14ac:dyDescent="0.25">
      <c r="B34" s="1632"/>
      <c r="C34" s="1632"/>
      <c r="D34" s="1633"/>
      <c r="E34" s="1633"/>
      <c r="F34" s="1634"/>
    </row>
    <row r="35" spans="2:6" x14ac:dyDescent="0.25">
      <c r="B35" s="1632"/>
      <c r="C35" s="1632"/>
      <c r="D35" s="1633"/>
      <c r="E35" s="1633"/>
      <c r="F35" s="1634"/>
    </row>
  </sheetData>
  <mergeCells count="2">
    <mergeCell ref="C1:F1"/>
    <mergeCell ref="C17:F17"/>
  </mergeCells>
  <printOptions horizontalCentered="1" verticalCentered="1"/>
  <pageMargins left="0.75" right="0.75" top="1" bottom="1" header="0.5" footer="0.5"/>
  <pageSetup orientation="portrait" r:id="rId1"/>
  <headerFooter alignWithMargins="0">
    <oddFooter>&amp;L&amp;7Source: Office of the Budget Director</oddFooter>
  </headerFooter>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35"/>
  <sheetViews>
    <sheetView topLeftCell="H1" workbookViewId="0">
      <selection sqref="A1:G1"/>
    </sheetView>
  </sheetViews>
  <sheetFormatPr defaultColWidth="6.6640625" defaultRowHeight="13.2" x14ac:dyDescent="0.25"/>
  <cols>
    <col min="1" max="1" width="20.6640625" style="1434" hidden="1" customWidth="1"/>
    <col min="2" max="6" width="11.5546875" style="1434" hidden="1" customWidth="1"/>
    <col min="7" max="7" width="11.44140625" style="1434" hidden="1" customWidth="1"/>
    <col min="8" max="16384" width="6.6640625" style="1434"/>
  </cols>
  <sheetData>
    <row r="1" spans="1:17" ht="35.1" customHeight="1" x14ac:dyDescent="0.35">
      <c r="A1" s="1805" t="s">
        <v>1356</v>
      </c>
      <c r="B1" s="1805"/>
      <c r="C1" s="1805"/>
      <c r="D1" s="1805"/>
      <c r="E1" s="1805"/>
      <c r="F1" s="1805"/>
      <c r="G1" s="1805"/>
      <c r="H1" s="1839" t="s">
        <v>1646</v>
      </c>
      <c r="I1" s="1839"/>
      <c r="J1" s="1839"/>
      <c r="K1" s="1839"/>
      <c r="L1" s="1839"/>
      <c r="M1" s="1839"/>
      <c r="N1" s="1839"/>
      <c r="O1" s="1839"/>
      <c r="P1" s="1839"/>
      <c r="Q1" s="1839"/>
    </row>
    <row r="3" spans="1:17" x14ac:dyDescent="0.25">
      <c r="A3" s="1440"/>
      <c r="B3" s="1635" t="s">
        <v>583</v>
      </c>
      <c r="C3" s="1635" t="s">
        <v>1363</v>
      </c>
      <c r="D3" s="1635" t="s">
        <v>1388</v>
      </c>
      <c r="E3" s="1635" t="s">
        <v>1389</v>
      </c>
      <c r="F3" s="1635" t="s">
        <v>1377</v>
      </c>
      <c r="G3" s="1635" t="s">
        <v>1503</v>
      </c>
    </row>
    <row r="4" spans="1:17" x14ac:dyDescent="0.25">
      <c r="A4" s="1636"/>
      <c r="B4" s="1636"/>
      <c r="C4" s="1636"/>
      <c r="D4" s="1637"/>
      <c r="E4" s="1636"/>
      <c r="F4" s="1636"/>
      <c r="G4" s="1636"/>
    </row>
    <row r="5" spans="1:17" x14ac:dyDescent="0.25">
      <c r="A5" s="1445" t="s">
        <v>1350</v>
      </c>
      <c r="B5" s="1638">
        <v>65611</v>
      </c>
      <c r="C5" s="1638"/>
      <c r="D5" s="1638"/>
      <c r="E5" s="1638"/>
      <c r="F5" s="1638"/>
      <c r="G5" s="1638"/>
    </row>
    <row r="6" spans="1:17" x14ac:dyDescent="0.25">
      <c r="A6" s="1636"/>
      <c r="B6" s="1636"/>
      <c r="C6" s="1637"/>
      <c r="D6" s="1636"/>
      <c r="E6" s="1636"/>
      <c r="F6" s="1636"/>
      <c r="G6" s="1636"/>
    </row>
    <row r="7" spans="1:17" x14ac:dyDescent="0.25">
      <c r="A7" s="1445" t="s">
        <v>1351</v>
      </c>
      <c r="B7" s="1638">
        <v>54874</v>
      </c>
      <c r="C7" s="1638"/>
      <c r="D7" s="1638"/>
      <c r="E7" s="1638"/>
      <c r="F7" s="1638"/>
      <c r="G7" s="1638"/>
    </row>
    <row r="8" spans="1:17" x14ac:dyDescent="0.25">
      <c r="A8" s="1636"/>
      <c r="B8" s="1636"/>
      <c r="C8" s="1637"/>
      <c r="D8" s="1636"/>
      <c r="E8" s="1636"/>
      <c r="F8" s="1636"/>
      <c r="G8" s="1636"/>
    </row>
    <row r="9" spans="1:17" x14ac:dyDescent="0.25">
      <c r="A9" s="1445" t="s">
        <v>1352</v>
      </c>
      <c r="B9" s="1638">
        <v>48676</v>
      </c>
      <c r="C9" s="1638"/>
      <c r="D9" s="1638"/>
      <c r="E9" s="1638"/>
      <c r="F9" s="1638"/>
      <c r="G9" s="1638"/>
    </row>
    <row r="10" spans="1:17" x14ac:dyDescent="0.25">
      <c r="A10" s="1636"/>
      <c r="B10" s="1636"/>
      <c r="C10" s="1637"/>
      <c r="D10" s="1636"/>
      <c r="E10" s="1636"/>
      <c r="F10" s="1636"/>
      <c r="G10" s="1636"/>
    </row>
    <row r="11" spans="1:17" x14ac:dyDescent="0.25">
      <c r="A11" s="1444" t="s">
        <v>1353</v>
      </c>
      <c r="B11" s="1639">
        <v>40896</v>
      </c>
      <c r="C11" s="1639"/>
      <c r="D11" s="1639"/>
      <c r="E11" s="1639"/>
      <c r="F11" s="1639"/>
      <c r="G11" s="1639"/>
    </row>
    <row r="12" spans="1:17" x14ac:dyDescent="0.25">
      <c r="A12" s="1579"/>
      <c r="B12" s="1579"/>
      <c r="C12" s="1579"/>
      <c r="D12" s="1579"/>
      <c r="E12" s="1579"/>
      <c r="F12" s="1579"/>
    </row>
    <row r="13" spans="1:17" ht="33.75" customHeight="1" x14ac:dyDescent="0.25">
      <c r="A13" s="1804" t="s">
        <v>1357</v>
      </c>
      <c r="B13" s="1804"/>
      <c r="C13" s="1804"/>
      <c r="D13" s="1579"/>
      <c r="E13" s="1579"/>
      <c r="F13" s="1579"/>
    </row>
    <row r="14" spans="1:17" ht="38.25" customHeight="1" x14ac:dyDescent="0.25">
      <c r="A14" s="1640" t="s">
        <v>1358</v>
      </c>
      <c r="B14" s="1640"/>
      <c r="C14" s="1640"/>
      <c r="D14" s="1640"/>
      <c r="E14" s="1640"/>
      <c r="F14" s="1640"/>
    </row>
    <row r="15" spans="1:17" x14ac:dyDescent="0.25">
      <c r="A15" s="1579"/>
      <c r="B15" s="1579"/>
      <c r="C15" s="1579"/>
      <c r="D15" s="1579"/>
      <c r="E15" s="1579"/>
      <c r="F15" s="1579"/>
    </row>
    <row r="16" spans="1:17" x14ac:dyDescent="0.25">
      <c r="A16" s="1579"/>
      <c r="B16" s="1579"/>
      <c r="C16" s="1579"/>
      <c r="D16" s="1579"/>
      <c r="E16" s="1579"/>
      <c r="F16" s="1579"/>
    </row>
    <row r="17" spans="1:6" x14ac:dyDescent="0.25">
      <c r="A17" s="1579"/>
      <c r="B17" s="1579"/>
      <c r="C17" s="1579"/>
      <c r="D17" s="1579"/>
      <c r="E17" s="1579"/>
      <c r="F17" s="1579"/>
    </row>
    <row r="18" spans="1:6" x14ac:dyDescent="0.25">
      <c r="A18" s="1579"/>
      <c r="B18" s="1579"/>
      <c r="C18" s="1579"/>
      <c r="D18" s="1579"/>
      <c r="E18" s="1579"/>
      <c r="F18" s="1579"/>
    </row>
    <row r="19" spans="1:6" x14ac:dyDescent="0.25">
      <c r="A19" s="1579"/>
      <c r="B19" s="1579"/>
      <c r="C19" s="1579"/>
      <c r="D19" s="1579"/>
      <c r="E19" s="1579"/>
      <c r="F19" s="1579"/>
    </row>
    <row r="20" spans="1:6" x14ac:dyDescent="0.25">
      <c r="A20" s="1579"/>
      <c r="B20" s="1579"/>
      <c r="C20" s="1579"/>
      <c r="D20" s="1579"/>
      <c r="E20" s="1579"/>
      <c r="F20" s="1579"/>
    </row>
    <row r="21" spans="1:6" x14ac:dyDescent="0.25">
      <c r="A21" s="1579"/>
      <c r="B21" s="1579"/>
      <c r="C21" s="1579"/>
      <c r="D21" s="1579"/>
      <c r="E21" s="1579"/>
      <c r="F21" s="1579"/>
    </row>
    <row r="22" spans="1:6" x14ac:dyDescent="0.25">
      <c r="A22" s="1579"/>
      <c r="B22" s="1579"/>
      <c r="C22" s="1579"/>
      <c r="D22" s="1579"/>
      <c r="E22" s="1579"/>
      <c r="F22" s="1579"/>
    </row>
    <row r="23" spans="1:6" x14ac:dyDescent="0.25">
      <c r="A23" s="1579"/>
      <c r="B23" s="1579"/>
      <c r="C23" s="1579"/>
      <c r="D23" s="1579"/>
      <c r="E23" s="1579"/>
      <c r="F23" s="1579"/>
    </row>
    <row r="24" spans="1:6" x14ac:dyDescent="0.25">
      <c r="A24" s="1579"/>
      <c r="B24" s="1579"/>
      <c r="C24" s="1579"/>
      <c r="D24" s="1579"/>
      <c r="E24" s="1579"/>
      <c r="F24" s="1579"/>
    </row>
    <row r="25" spans="1:6" x14ac:dyDescent="0.25">
      <c r="A25" s="1579"/>
      <c r="B25" s="1579"/>
      <c r="C25" s="1579"/>
      <c r="D25" s="1579"/>
      <c r="E25" s="1579"/>
      <c r="F25" s="1579"/>
    </row>
    <row r="26" spans="1:6" x14ac:dyDescent="0.25">
      <c r="A26" s="1579"/>
      <c r="B26" s="1579"/>
      <c r="C26" s="1579"/>
      <c r="D26" s="1579"/>
      <c r="E26" s="1579"/>
      <c r="F26" s="1579"/>
    </row>
    <row r="27" spans="1:6" x14ac:dyDescent="0.25">
      <c r="A27" s="1579"/>
      <c r="B27" s="1579"/>
      <c r="C27" s="1579"/>
      <c r="D27" s="1579"/>
      <c r="E27" s="1579"/>
      <c r="F27" s="1579"/>
    </row>
    <row r="28" spans="1:6" x14ac:dyDescent="0.25">
      <c r="A28" s="1579"/>
      <c r="B28" s="1579"/>
      <c r="C28" s="1579"/>
      <c r="D28" s="1579"/>
      <c r="E28" s="1579"/>
      <c r="F28" s="1579"/>
    </row>
    <row r="29" spans="1:6" x14ac:dyDescent="0.25">
      <c r="A29" s="1579"/>
      <c r="B29" s="1579"/>
      <c r="C29" s="1579"/>
      <c r="D29" s="1579"/>
      <c r="E29" s="1579"/>
      <c r="F29" s="1579"/>
    </row>
    <row r="30" spans="1:6" x14ac:dyDescent="0.25">
      <c r="A30" s="1579"/>
      <c r="B30" s="1579"/>
      <c r="C30" s="1579"/>
      <c r="D30" s="1579"/>
      <c r="E30" s="1579"/>
      <c r="F30" s="1579"/>
    </row>
    <row r="31" spans="1:6" x14ac:dyDescent="0.25">
      <c r="A31" s="1579"/>
      <c r="B31" s="1579"/>
      <c r="C31" s="1579"/>
      <c r="D31" s="1579"/>
      <c r="E31" s="1579"/>
      <c r="F31" s="1579"/>
    </row>
    <row r="32" spans="1:6" x14ac:dyDescent="0.25">
      <c r="A32" s="1579"/>
      <c r="B32" s="1579"/>
      <c r="C32" s="1579"/>
      <c r="D32" s="1579"/>
      <c r="E32" s="1579"/>
      <c r="F32" s="1579"/>
    </row>
    <row r="33" spans="1:6" x14ac:dyDescent="0.25">
      <c r="A33" s="1579"/>
      <c r="B33" s="1579"/>
      <c r="C33" s="1579"/>
      <c r="D33" s="1579"/>
      <c r="E33" s="1579"/>
      <c r="F33" s="1579"/>
    </row>
    <row r="34" spans="1:6" x14ac:dyDescent="0.25">
      <c r="A34" s="1579"/>
      <c r="B34" s="1579"/>
      <c r="C34" s="1579"/>
      <c r="D34" s="1579"/>
      <c r="E34" s="1579"/>
      <c r="F34" s="1579"/>
    </row>
    <row r="35" spans="1:6" x14ac:dyDescent="0.25">
      <c r="A35" s="1579"/>
      <c r="B35" s="1579"/>
      <c r="C35" s="1579"/>
      <c r="D35" s="1579"/>
      <c r="E35" s="1579"/>
      <c r="F35" s="1579"/>
    </row>
  </sheetData>
  <mergeCells count="3">
    <mergeCell ref="A13:C13"/>
    <mergeCell ref="A1:G1"/>
    <mergeCell ref="H1:Q1"/>
  </mergeCells>
  <printOptions horizontalCentered="1" verticalCentered="1"/>
  <pageMargins left="0.75" right="0.75" top="1" bottom="1" header="0.5" footer="0.5"/>
  <pageSetup scale="89" orientation="portrait" r:id="rId1"/>
  <headerFooter alignWithMargins="0">
    <oddFooter>&amp;L&amp;7Source: Office of the Budget Director</oddFooter>
  </headerFooter>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workbookViewId="0"/>
  </sheetViews>
  <sheetFormatPr defaultColWidth="6.6640625" defaultRowHeight="13.2" x14ac:dyDescent="0.25"/>
  <cols>
    <col min="1" max="1" width="15.109375" style="1434" customWidth="1"/>
    <col min="2" max="2" width="11.5546875" style="1434" customWidth="1"/>
    <col min="3" max="3" width="11.5546875" style="1644" customWidth="1"/>
    <col min="4" max="4" width="11.5546875" style="1434" customWidth="1"/>
    <col min="5" max="6" width="7.88671875" style="1434" customWidth="1"/>
    <col min="7" max="16384" width="6.6640625" style="1434"/>
  </cols>
  <sheetData>
    <row r="1" spans="1:6" ht="19.2" x14ac:dyDescent="0.25">
      <c r="A1" s="1641" t="s">
        <v>1635</v>
      </c>
      <c r="B1" s="1641"/>
      <c r="C1" s="1641"/>
      <c r="D1" s="1642"/>
      <c r="E1" s="1642"/>
      <c r="F1" s="1642"/>
    </row>
    <row r="2" spans="1:6" ht="19.2" x14ac:dyDescent="0.25">
      <c r="A2" s="1641" t="s">
        <v>1359</v>
      </c>
      <c r="B2" s="1641"/>
      <c r="C2" s="1641"/>
      <c r="D2" s="1642"/>
      <c r="E2" s="1642"/>
      <c r="F2" s="1642"/>
    </row>
    <row r="3" spans="1:6" x14ac:dyDescent="0.25">
      <c r="C3" s="1643"/>
      <c r="D3" s="1644"/>
      <c r="F3" s="1579"/>
    </row>
    <row r="4" spans="1:6" ht="24.9" customHeight="1" x14ac:dyDescent="0.25">
      <c r="B4" s="1645" t="s">
        <v>770</v>
      </c>
      <c r="C4" s="1646" t="s">
        <v>1360</v>
      </c>
      <c r="D4" s="1645" t="s">
        <v>1361</v>
      </c>
      <c r="E4" s="1647"/>
      <c r="F4" s="1579"/>
    </row>
    <row r="5" spans="1:6" x14ac:dyDescent="0.25">
      <c r="B5" s="1625"/>
      <c r="C5" s="1648"/>
      <c r="D5" s="1625"/>
      <c r="E5" s="1647"/>
      <c r="F5" s="1579"/>
    </row>
    <row r="6" spans="1:6" x14ac:dyDescent="0.25">
      <c r="B6" s="1649" t="s">
        <v>1363</v>
      </c>
      <c r="C6" s="1650">
        <v>8380</v>
      </c>
      <c r="D6" s="1651">
        <v>15840</v>
      </c>
      <c r="E6" s="1652"/>
      <c r="F6" s="1579"/>
    </row>
    <row r="7" spans="1:6" x14ac:dyDescent="0.25">
      <c r="B7" s="1625"/>
      <c r="C7" s="1648"/>
      <c r="D7" s="1625"/>
      <c r="E7" s="1652"/>
      <c r="F7" s="1579"/>
    </row>
    <row r="8" spans="1:6" x14ac:dyDescent="0.25">
      <c r="B8" s="1440" t="s">
        <v>1388</v>
      </c>
      <c r="C8" s="1653">
        <v>8760</v>
      </c>
      <c r="D8" s="1654">
        <v>16560</v>
      </c>
      <c r="E8" s="1652"/>
      <c r="F8" s="1579"/>
    </row>
    <row r="9" spans="1:6" x14ac:dyDescent="0.25">
      <c r="B9" s="1625"/>
      <c r="C9" s="1648"/>
      <c r="D9" s="1625"/>
      <c r="E9" s="1652"/>
      <c r="F9" s="1579"/>
    </row>
    <row r="10" spans="1:6" x14ac:dyDescent="0.25">
      <c r="B10" s="1440" t="s">
        <v>1389</v>
      </c>
      <c r="C10" s="1653">
        <v>9144</v>
      </c>
      <c r="D10" s="1654">
        <v>17304</v>
      </c>
      <c r="E10" s="1652"/>
      <c r="F10" s="1579"/>
    </row>
    <row r="11" spans="1:6" x14ac:dyDescent="0.25">
      <c r="B11" s="1625"/>
      <c r="C11" s="1648"/>
      <c r="D11" s="1625"/>
      <c r="E11" s="1652"/>
      <c r="F11" s="1579"/>
    </row>
    <row r="12" spans="1:6" x14ac:dyDescent="0.25">
      <c r="B12" s="1440" t="s">
        <v>1377</v>
      </c>
      <c r="C12" s="1653">
        <v>9504</v>
      </c>
      <c r="D12" s="1654">
        <v>17976</v>
      </c>
      <c r="E12" s="1655"/>
      <c r="F12" s="1579"/>
    </row>
    <row r="13" spans="1:6" x14ac:dyDescent="0.25">
      <c r="B13" s="1625"/>
      <c r="C13" s="1648"/>
      <c r="D13" s="1625"/>
      <c r="E13" s="1656"/>
      <c r="F13" s="1579"/>
    </row>
    <row r="14" spans="1:6" x14ac:dyDescent="0.25">
      <c r="B14" s="1440" t="s">
        <v>1503</v>
      </c>
      <c r="C14" s="1653">
        <v>9792</v>
      </c>
      <c r="D14" s="1654">
        <v>18552</v>
      </c>
      <c r="E14" s="1656"/>
      <c r="F14" s="1579"/>
    </row>
    <row r="15" spans="1:6" ht="26.25" customHeight="1" x14ac:dyDescent="0.25">
      <c r="A15" s="1579"/>
      <c r="B15" s="1806" t="s">
        <v>1362</v>
      </c>
      <c r="C15" s="1806"/>
      <c r="D15" s="1806"/>
      <c r="E15" s="1579"/>
      <c r="F15" s="1579"/>
    </row>
    <row r="16" spans="1:6" x14ac:dyDescent="0.25">
      <c r="A16" s="1579"/>
      <c r="B16" s="1657"/>
      <c r="C16" s="1579"/>
      <c r="D16" s="1579"/>
      <c r="E16" s="1579"/>
      <c r="F16" s="1579"/>
    </row>
    <row r="17" spans="2:6" x14ac:dyDescent="0.25">
      <c r="B17" s="1579"/>
      <c r="C17" s="1579"/>
      <c r="D17" s="1579"/>
      <c r="E17" s="1579"/>
      <c r="F17" s="1579"/>
    </row>
    <row r="18" spans="2:6" x14ac:dyDescent="0.25">
      <c r="B18" s="1579"/>
      <c r="C18" s="1579"/>
      <c r="D18" s="1579"/>
      <c r="E18" s="1579"/>
      <c r="F18" s="1579"/>
    </row>
    <row r="19" spans="2:6" x14ac:dyDescent="0.25">
      <c r="B19" s="1579"/>
      <c r="C19" s="1579"/>
      <c r="D19" s="1579"/>
      <c r="E19" s="1579"/>
      <c r="F19" s="1579"/>
    </row>
    <row r="20" spans="2:6" x14ac:dyDescent="0.25">
      <c r="B20" s="1579"/>
      <c r="C20" s="1579"/>
      <c r="D20" s="1579"/>
      <c r="E20" s="1579"/>
      <c r="F20" s="1579"/>
    </row>
    <row r="21" spans="2:6" x14ac:dyDescent="0.25">
      <c r="B21" s="1579"/>
      <c r="C21" s="1579"/>
      <c r="D21" s="1579"/>
      <c r="E21" s="1579"/>
      <c r="F21" s="1579"/>
    </row>
    <row r="22" spans="2:6" x14ac:dyDescent="0.25">
      <c r="B22" s="1579"/>
      <c r="C22" s="1579"/>
      <c r="D22" s="1579"/>
      <c r="E22" s="1579"/>
      <c r="F22" s="1579"/>
    </row>
    <row r="23" spans="2:6" x14ac:dyDescent="0.25">
      <c r="B23" s="1579"/>
      <c r="C23" s="1579"/>
      <c r="D23" s="1579"/>
      <c r="E23" s="1579"/>
      <c r="F23" s="1579"/>
    </row>
    <row r="24" spans="2:6" x14ac:dyDescent="0.25">
      <c r="B24" s="1579"/>
      <c r="C24" s="1579"/>
      <c r="D24" s="1579"/>
      <c r="E24" s="1579"/>
      <c r="F24" s="1579"/>
    </row>
    <row r="25" spans="2:6" x14ac:dyDescent="0.25">
      <c r="B25" s="1579"/>
      <c r="C25" s="1579"/>
      <c r="D25" s="1579"/>
      <c r="E25" s="1579"/>
      <c r="F25" s="1579"/>
    </row>
    <row r="26" spans="2:6" x14ac:dyDescent="0.25">
      <c r="B26" s="1579"/>
      <c r="C26" s="1579"/>
      <c r="D26" s="1579"/>
      <c r="E26" s="1579"/>
      <c r="F26" s="1579"/>
    </row>
    <row r="27" spans="2:6" x14ac:dyDescent="0.25">
      <c r="B27" s="1579"/>
      <c r="C27" s="1579"/>
      <c r="D27" s="1579"/>
      <c r="E27" s="1579"/>
      <c r="F27" s="1579"/>
    </row>
    <row r="28" spans="2:6" x14ac:dyDescent="0.25">
      <c r="B28" s="1579"/>
      <c r="C28" s="1579"/>
      <c r="D28" s="1579"/>
      <c r="E28" s="1579"/>
      <c r="F28" s="1579"/>
    </row>
    <row r="29" spans="2:6" x14ac:dyDescent="0.25">
      <c r="B29" s="1579"/>
      <c r="C29" s="1579"/>
      <c r="D29" s="1579"/>
      <c r="E29" s="1579"/>
      <c r="F29" s="1579"/>
    </row>
    <row r="30" spans="2:6" x14ac:dyDescent="0.25">
      <c r="B30" s="1579"/>
      <c r="C30" s="1579"/>
      <c r="D30" s="1579"/>
      <c r="E30" s="1579"/>
      <c r="F30" s="1579"/>
    </row>
    <row r="31" spans="2:6" x14ac:dyDescent="0.25">
      <c r="B31" s="1579"/>
      <c r="C31" s="1579"/>
      <c r="D31" s="1579"/>
      <c r="E31" s="1579"/>
      <c r="F31" s="1579"/>
    </row>
    <row r="32" spans="2:6" x14ac:dyDescent="0.25">
      <c r="B32" s="1579"/>
      <c r="C32" s="1579"/>
      <c r="D32" s="1579"/>
      <c r="E32" s="1579"/>
      <c r="F32" s="1579"/>
    </row>
    <row r="33" spans="2:6" x14ac:dyDescent="0.25">
      <c r="B33" s="1579"/>
      <c r="C33" s="1579"/>
      <c r="D33" s="1579"/>
      <c r="E33" s="1579"/>
      <c r="F33" s="1579"/>
    </row>
    <row r="34" spans="2:6" x14ac:dyDescent="0.25">
      <c r="C34" s="1579"/>
      <c r="D34" s="1579"/>
      <c r="E34" s="1579"/>
      <c r="F34" s="1579"/>
    </row>
    <row r="35" spans="2:6" x14ac:dyDescent="0.25">
      <c r="C35" s="1579"/>
      <c r="D35" s="1579"/>
      <c r="E35" s="1579"/>
      <c r="F35" s="1579"/>
    </row>
    <row r="36" spans="2:6" x14ac:dyDescent="0.25">
      <c r="C36" s="1579"/>
      <c r="D36" s="1579"/>
      <c r="E36" s="1579"/>
      <c r="F36" s="1579"/>
    </row>
  </sheetData>
  <mergeCells count="1">
    <mergeCell ref="B15:D15"/>
  </mergeCells>
  <printOptions horizontalCentered="1" verticalCentered="1"/>
  <pageMargins left="0.75" right="0.5" top="1" bottom="1" header="0.5" footer="0.5"/>
  <pageSetup scale="120" orientation="portrait" r:id="rId1"/>
  <headerFooter alignWithMargins="0">
    <oddFooter>&amp;L&amp;7Source: Office of the Budget Director</oddFooter>
  </headerFooter>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Y70"/>
  <sheetViews>
    <sheetView zoomScale="90" zoomScaleNormal="90" workbookViewId="0">
      <selection sqref="A1:Y1"/>
    </sheetView>
  </sheetViews>
  <sheetFormatPr defaultRowHeight="13.2" x14ac:dyDescent="0.25"/>
  <cols>
    <col min="1" max="1" width="40.5546875" style="1495" customWidth="1"/>
    <col min="2" max="2" width="11.77734375" style="1495" hidden="1" customWidth="1"/>
    <col min="3" max="3" width="16.21875" style="1495" hidden="1" customWidth="1"/>
    <col min="4" max="4" width="11.44140625" style="1495" hidden="1" customWidth="1"/>
    <col min="5" max="5" width="10.44140625" style="1495" hidden="1" customWidth="1"/>
    <col min="6" max="6" width="11.5546875" style="1495" customWidth="1"/>
    <col min="7" max="7" width="16.109375" style="1495" customWidth="1"/>
    <col min="8" max="8" width="11.44140625" style="1495" customWidth="1"/>
    <col min="9" max="9" width="10.33203125" style="1495" customWidth="1"/>
    <col min="10" max="10" width="10" style="1495" customWidth="1"/>
    <col min="11" max="11" width="13.33203125" style="1495" customWidth="1"/>
    <col min="12" max="12" width="10.6640625" style="1495" customWidth="1"/>
    <col min="13" max="13" width="9.33203125" style="1495" customWidth="1"/>
    <col min="14" max="14" width="10.6640625" style="1495" customWidth="1"/>
    <col min="15" max="15" width="12.6640625" style="1495" customWidth="1"/>
    <col min="16" max="16" width="9.6640625" style="1495" customWidth="1"/>
    <col min="17" max="17" width="9.33203125" style="1495" customWidth="1"/>
    <col min="18" max="18" width="9.88671875" style="1495" customWidth="1"/>
    <col min="19" max="19" width="12.44140625" style="1495" customWidth="1"/>
    <col min="20" max="20" width="11.109375" style="1495" customWidth="1"/>
    <col min="21" max="21" width="10.33203125" style="1495" customWidth="1"/>
    <col min="22" max="22" width="8" style="1495" hidden="1" customWidth="1"/>
    <col min="23" max="23" width="12.88671875" style="1565" hidden="1" customWidth="1"/>
    <col min="24" max="24" width="9.6640625" style="1565" hidden="1" customWidth="1"/>
    <col min="25" max="25" width="9" style="1566" hidden="1" customWidth="1"/>
    <col min="26" max="26" width="7.6640625" style="1495" hidden="1" customWidth="1"/>
    <col min="27" max="27" width="12.88671875" style="1495" hidden="1" customWidth="1"/>
    <col min="28" max="28" width="8.33203125" style="1495" hidden="1" customWidth="1"/>
    <col min="29" max="29" width="9.88671875" style="1495" hidden="1" customWidth="1"/>
    <col min="30" max="30" width="0" style="1495" hidden="1" customWidth="1"/>
    <col min="31" max="32" width="12.88671875" style="1495" hidden="1" customWidth="1"/>
    <col min="33" max="33" width="9.33203125" style="1495" hidden="1" customWidth="1"/>
    <col min="34" max="34" width="0" style="1495" hidden="1" customWidth="1"/>
    <col min="35" max="35" width="12.88671875" style="1495" hidden="1" customWidth="1"/>
  </cols>
  <sheetData>
    <row r="1" spans="1:35" s="1516" customFormat="1" ht="23.25" customHeight="1" thickBot="1" x14ac:dyDescent="0.35">
      <c r="A1" s="1807" t="s">
        <v>1595</v>
      </c>
      <c r="B1" s="1807"/>
      <c r="C1" s="1807"/>
      <c r="D1" s="1807"/>
      <c r="E1" s="1807"/>
      <c r="F1" s="1807"/>
      <c r="G1" s="1807"/>
      <c r="H1" s="1807"/>
      <c r="I1" s="1807"/>
      <c r="J1" s="1807"/>
      <c r="K1" s="1807"/>
      <c r="L1" s="1807"/>
      <c r="M1" s="1807"/>
      <c r="N1" s="1808"/>
      <c r="O1" s="1808"/>
      <c r="P1" s="1808"/>
      <c r="Q1" s="1808"/>
      <c r="R1" s="1808"/>
      <c r="S1" s="1808"/>
      <c r="T1" s="1808"/>
      <c r="U1" s="1808"/>
      <c r="V1" s="1808"/>
      <c r="W1" s="1808"/>
      <c r="X1" s="1808"/>
      <c r="Y1" s="1808"/>
      <c r="Z1" s="1513"/>
      <c r="AA1" s="1513"/>
      <c r="AB1" s="1514"/>
      <c r="AC1" s="1514"/>
      <c r="AD1" s="1514"/>
      <c r="AE1" s="1514"/>
      <c r="AF1" s="1514"/>
      <c r="AG1" s="1514"/>
      <c r="AH1" s="1514"/>
      <c r="AI1" s="1515"/>
    </row>
    <row r="2" spans="1:35" s="1520" customFormat="1" ht="9" customHeight="1" x14ac:dyDescent="0.3">
      <c r="A2" s="1517"/>
      <c r="B2" s="1517"/>
      <c r="C2" s="1517"/>
      <c r="D2" s="1517"/>
      <c r="E2" s="1517"/>
      <c r="F2" s="1517"/>
      <c r="G2" s="1517"/>
      <c r="H2" s="1517"/>
      <c r="I2" s="1517"/>
      <c r="J2" s="1517"/>
      <c r="K2" s="1517"/>
      <c r="L2" s="1517"/>
      <c r="M2" s="1517"/>
      <c r="N2" s="1517"/>
      <c r="O2" s="1517"/>
      <c r="P2" s="1517"/>
      <c r="Q2" s="1517"/>
      <c r="R2" s="1517"/>
      <c r="S2" s="1517"/>
      <c r="T2" s="1517"/>
      <c r="U2" s="1517"/>
      <c r="V2" s="1517"/>
      <c r="W2" s="1518"/>
      <c r="X2" s="1518"/>
      <c r="Y2" s="1519"/>
      <c r="Z2" s="1517"/>
      <c r="AA2" s="1517"/>
      <c r="AB2" s="1517"/>
      <c r="AC2" s="1517"/>
      <c r="AD2" s="1517"/>
      <c r="AE2" s="1517"/>
      <c r="AF2" s="1517"/>
      <c r="AG2" s="1517"/>
      <c r="AH2" s="1517"/>
      <c r="AI2" s="1517"/>
    </row>
    <row r="3" spans="1:35" s="1516" customFormat="1" ht="15" customHeight="1" x14ac:dyDescent="0.25">
      <c r="A3" s="1521" t="s">
        <v>1498</v>
      </c>
      <c r="B3" s="1809" t="s">
        <v>1645</v>
      </c>
      <c r="C3" s="1810"/>
      <c r="D3" s="1810"/>
      <c r="E3" s="1811"/>
      <c r="F3" s="1809" t="s">
        <v>1503</v>
      </c>
      <c r="G3" s="1810"/>
      <c r="H3" s="1810"/>
      <c r="I3" s="1811"/>
      <c r="J3" s="1812" t="s">
        <v>1377</v>
      </c>
      <c r="K3" s="1813"/>
      <c r="L3" s="1813"/>
      <c r="M3" s="1814"/>
      <c r="N3" s="1812" t="s">
        <v>1389</v>
      </c>
      <c r="O3" s="1813"/>
      <c r="P3" s="1813"/>
      <c r="Q3" s="1814"/>
      <c r="R3" s="1812" t="s">
        <v>1388</v>
      </c>
      <c r="S3" s="1813"/>
      <c r="T3" s="1813"/>
      <c r="U3" s="1814"/>
      <c r="V3" s="1815" t="s">
        <v>583</v>
      </c>
      <c r="W3" s="1816"/>
      <c r="X3" s="1522" t="s">
        <v>1365</v>
      </c>
      <c r="Y3" s="1523" t="s">
        <v>1366</v>
      </c>
      <c r="Z3" s="1815" t="s">
        <v>363</v>
      </c>
      <c r="AA3" s="1816"/>
      <c r="AB3" s="1522" t="s">
        <v>1365</v>
      </c>
      <c r="AC3" s="1522" t="s">
        <v>796</v>
      </c>
      <c r="AD3" s="1524" t="s">
        <v>1261</v>
      </c>
      <c r="AE3" s="1525"/>
      <c r="AF3" s="1522" t="s">
        <v>1365</v>
      </c>
      <c r="AG3" s="1522" t="s">
        <v>796</v>
      </c>
      <c r="AH3" s="1524" t="s">
        <v>274</v>
      </c>
      <c r="AI3" s="1525"/>
    </row>
    <row r="4" spans="1:35" s="1516" customFormat="1" ht="15" customHeight="1" x14ac:dyDescent="0.25">
      <c r="A4" s="1526"/>
      <c r="B4" s="1527" t="s">
        <v>586</v>
      </c>
      <c r="C4" s="1527" t="s">
        <v>587</v>
      </c>
      <c r="D4" s="1528" t="s">
        <v>1596</v>
      </c>
      <c r="E4" s="1529" t="s">
        <v>1366</v>
      </c>
      <c r="F4" s="1527" t="s">
        <v>586</v>
      </c>
      <c r="G4" s="1527" t="s">
        <v>587</v>
      </c>
      <c r="H4" s="1528" t="s">
        <v>1596</v>
      </c>
      <c r="I4" s="1529" t="s">
        <v>1366</v>
      </c>
      <c r="J4" s="1527" t="s">
        <v>586</v>
      </c>
      <c r="K4" s="1527" t="s">
        <v>587</v>
      </c>
      <c r="L4" s="1528" t="s">
        <v>1596</v>
      </c>
      <c r="M4" s="1529" t="s">
        <v>1366</v>
      </c>
      <c r="N4" s="1527" t="s">
        <v>586</v>
      </c>
      <c r="O4" s="1527" t="s">
        <v>587</v>
      </c>
      <c r="P4" s="1528" t="s">
        <v>1596</v>
      </c>
      <c r="Q4" s="1529" t="s">
        <v>1366</v>
      </c>
      <c r="R4" s="1527" t="s">
        <v>586</v>
      </c>
      <c r="S4" s="1527" t="s">
        <v>587</v>
      </c>
      <c r="T4" s="1528" t="s">
        <v>1596</v>
      </c>
      <c r="U4" s="1529" t="s">
        <v>1366</v>
      </c>
      <c r="V4" s="1530"/>
      <c r="W4" s="1531"/>
      <c r="X4" s="1522"/>
      <c r="Y4" s="1523"/>
      <c r="Z4" s="1530"/>
      <c r="AA4" s="1531"/>
      <c r="AB4" s="1522"/>
      <c r="AC4" s="1522"/>
      <c r="AD4" s="1524"/>
      <c r="AE4" s="1525"/>
      <c r="AF4" s="1522"/>
      <c r="AG4" s="1522"/>
      <c r="AH4" s="1524"/>
      <c r="AI4" s="1525"/>
    </row>
    <row r="5" spans="1:35" s="1520" customFormat="1" ht="12.75" customHeight="1" x14ac:dyDescent="0.25">
      <c r="A5" s="1532" t="s">
        <v>1597</v>
      </c>
      <c r="B5" s="1532"/>
      <c r="C5" s="1532"/>
      <c r="D5" s="1532"/>
      <c r="E5" s="1532"/>
      <c r="F5" s="1522">
        <v>1532</v>
      </c>
      <c r="G5" s="1533">
        <v>6418299</v>
      </c>
      <c r="H5" s="1533">
        <f t="shared" ref="H5:H10" si="0">G5/F5</f>
        <v>4189.4902088772842</v>
      </c>
      <c r="I5" s="1534">
        <f>G5/G61</f>
        <v>0.16088465190562351</v>
      </c>
      <c r="J5" s="1522">
        <v>1574</v>
      </c>
      <c r="K5" s="1533">
        <v>6596692</v>
      </c>
      <c r="L5" s="1533">
        <f t="shared" ref="L5:L10" si="1">K5/J5</f>
        <v>4191.0368487928845</v>
      </c>
      <c r="M5" s="1534">
        <f>K5/K61</f>
        <v>0.16183875068684095</v>
      </c>
      <c r="N5" s="1522">
        <v>1551</v>
      </c>
      <c r="O5" s="1533">
        <v>6655948</v>
      </c>
      <c r="P5" s="1533">
        <f t="shared" ref="P5:P10" si="2">O5/N5</f>
        <v>4291.3913604126374</v>
      </c>
      <c r="Q5" s="1534">
        <f>O5/O61</f>
        <v>0.16941963851634886</v>
      </c>
      <c r="R5" s="1522">
        <v>1376</v>
      </c>
      <c r="S5" s="1533">
        <v>5852357</v>
      </c>
      <c r="T5" s="1533">
        <f t="shared" ref="T5:T10" si="3">S5/R5</f>
        <v>4253.1664244186049</v>
      </c>
      <c r="U5" s="1534">
        <f>S5/S61</f>
        <v>0.16668758679038734</v>
      </c>
      <c r="V5" s="1522">
        <v>904</v>
      </c>
      <c r="W5" s="1533">
        <v>2573030</v>
      </c>
      <c r="X5" s="1533">
        <f t="shared" ref="X5:X10" si="4">W5/V5</f>
        <v>2846.2721238938052</v>
      </c>
      <c r="Y5" s="1534">
        <f>W5/W61</f>
        <v>0.10910293290112172</v>
      </c>
      <c r="Z5" s="1522">
        <v>953</v>
      </c>
      <c r="AA5" s="1535">
        <v>2634176</v>
      </c>
      <c r="AB5" s="1535">
        <f t="shared" ref="AB5:AB10" si="5">AA5/Z5</f>
        <v>2764.0881427072404</v>
      </c>
      <c r="AC5" s="1535"/>
      <c r="AD5" s="1522">
        <v>1064</v>
      </c>
      <c r="AE5" s="1535">
        <v>2623117.3199999998</v>
      </c>
      <c r="AF5" s="1535">
        <f t="shared" ref="AF5:AF10" si="6">AE5/AD5</f>
        <v>2465.335827067669</v>
      </c>
      <c r="AG5" s="1535"/>
      <c r="AH5" s="1522">
        <v>972</v>
      </c>
      <c r="AI5" s="1535">
        <v>2646862.85</v>
      </c>
    </row>
    <row r="6" spans="1:35" s="1520" customFormat="1" ht="12.75" customHeight="1" x14ac:dyDescent="0.25">
      <c r="A6" s="1532" t="s">
        <v>1598</v>
      </c>
      <c r="B6" s="1532"/>
      <c r="C6" s="1532"/>
      <c r="D6" s="1532"/>
      <c r="E6" s="1532"/>
      <c r="F6" s="1522">
        <v>0</v>
      </c>
      <c r="G6" s="1533">
        <v>0</v>
      </c>
      <c r="H6" s="1533"/>
      <c r="I6" s="1534">
        <f>G6/G61</f>
        <v>0</v>
      </c>
      <c r="J6" s="1522">
        <v>0</v>
      </c>
      <c r="K6" s="1533">
        <v>0</v>
      </c>
      <c r="L6" s="1533"/>
      <c r="M6" s="1534">
        <f>K6/K61</f>
        <v>0</v>
      </c>
      <c r="N6" s="1522">
        <v>420</v>
      </c>
      <c r="O6" s="1533">
        <v>323935</v>
      </c>
      <c r="P6" s="1533">
        <f t="shared" si="2"/>
        <v>771.27380952380952</v>
      </c>
      <c r="Q6" s="1534">
        <f>O6/O61</f>
        <v>8.2453995438055514E-3</v>
      </c>
      <c r="R6" s="1522">
        <v>386</v>
      </c>
      <c r="S6" s="1533">
        <v>282751</v>
      </c>
      <c r="T6" s="1533">
        <f t="shared" si="3"/>
        <v>732.51554404145077</v>
      </c>
      <c r="U6" s="1534">
        <f>S6/S61</f>
        <v>8.0533504453964115E-3</v>
      </c>
      <c r="V6" s="1522">
        <v>189</v>
      </c>
      <c r="W6" s="1533">
        <v>130441</v>
      </c>
      <c r="X6" s="1533">
        <f t="shared" si="4"/>
        <v>690.16402116402116</v>
      </c>
      <c r="Y6" s="1534">
        <f>W6/W61</f>
        <v>5.5310259385064368E-3</v>
      </c>
      <c r="Z6" s="1522">
        <v>157</v>
      </c>
      <c r="AA6" s="1535">
        <v>114130</v>
      </c>
      <c r="AB6" s="1535">
        <f t="shared" si="5"/>
        <v>726.9426751592357</v>
      </c>
      <c r="AC6" s="1535"/>
      <c r="AD6" s="1522" t="s">
        <v>1045</v>
      </c>
      <c r="AE6" s="1535"/>
      <c r="AF6" s="1522" t="s">
        <v>1045</v>
      </c>
      <c r="AG6" s="1535"/>
      <c r="AH6" s="1522" t="s">
        <v>1045</v>
      </c>
      <c r="AI6" s="1535"/>
    </row>
    <row r="7" spans="1:35" s="1520" customFormat="1" ht="12.75" customHeight="1" x14ac:dyDescent="0.25">
      <c r="A7" s="1532" t="s">
        <v>1599</v>
      </c>
      <c r="B7" s="1532"/>
      <c r="C7" s="1532"/>
      <c r="D7" s="1532"/>
      <c r="E7" s="1532"/>
      <c r="F7" s="1522">
        <v>296</v>
      </c>
      <c r="G7" s="1533">
        <v>91168</v>
      </c>
      <c r="H7" s="1533">
        <f t="shared" si="0"/>
        <v>308</v>
      </c>
      <c r="I7" s="1534">
        <f>G7/G61</f>
        <v>2.2852677858934095E-3</v>
      </c>
      <c r="J7" s="1522">
        <v>145</v>
      </c>
      <c r="K7" s="1533">
        <v>109542</v>
      </c>
      <c r="L7" s="1533">
        <f t="shared" si="1"/>
        <v>755.46206896551723</v>
      </c>
      <c r="M7" s="1534">
        <f>K7/K61</f>
        <v>2.6874288549075705E-3</v>
      </c>
      <c r="N7" s="1522">
        <v>316</v>
      </c>
      <c r="O7" s="1533">
        <v>110517</v>
      </c>
      <c r="P7" s="1533">
        <f t="shared" si="2"/>
        <v>349.73734177215192</v>
      </c>
      <c r="Q7" s="1534">
        <f>O7/O61</f>
        <v>2.8130854072044025E-3</v>
      </c>
      <c r="R7" s="1522">
        <v>211</v>
      </c>
      <c r="S7" s="1533">
        <v>99500</v>
      </c>
      <c r="T7" s="1533">
        <f t="shared" si="3"/>
        <v>471.56398104265401</v>
      </c>
      <c r="U7" s="1534">
        <f>S7/S61</f>
        <v>2.8339718314592806E-3</v>
      </c>
      <c r="V7" s="1522">
        <v>137</v>
      </c>
      <c r="W7" s="1533">
        <v>129115</v>
      </c>
      <c r="X7" s="1533">
        <f t="shared" si="4"/>
        <v>942.44525547445255</v>
      </c>
      <c r="Y7" s="1534">
        <f>W7/W61</f>
        <v>5.4748002089086908E-3</v>
      </c>
      <c r="Z7" s="1528">
        <v>188</v>
      </c>
      <c r="AA7" s="1536">
        <v>166313</v>
      </c>
      <c r="AB7" s="1535">
        <f t="shared" si="5"/>
        <v>884.64361702127655</v>
      </c>
      <c r="AC7" s="1536"/>
      <c r="AD7" s="1528">
        <v>174</v>
      </c>
      <c r="AE7" s="1536">
        <v>155019</v>
      </c>
      <c r="AF7" s="1535">
        <f t="shared" si="6"/>
        <v>890.91379310344826</v>
      </c>
      <c r="AG7" s="1536"/>
      <c r="AH7" s="1528">
        <v>223</v>
      </c>
      <c r="AI7" s="1536">
        <v>190071</v>
      </c>
    </row>
    <row r="8" spans="1:35" s="1520" customFormat="1" ht="12.75" customHeight="1" x14ac:dyDescent="0.25">
      <c r="A8" s="1532" t="s">
        <v>1600</v>
      </c>
      <c r="B8" s="1532"/>
      <c r="C8" s="1532"/>
      <c r="D8" s="1532"/>
      <c r="E8" s="1532"/>
      <c r="F8" s="1522">
        <v>0</v>
      </c>
      <c r="G8" s="1533">
        <v>0</v>
      </c>
      <c r="H8" s="1533"/>
      <c r="I8" s="1534">
        <f>G8/G61</f>
        <v>0</v>
      </c>
      <c r="J8" s="1522">
        <v>0</v>
      </c>
      <c r="K8" s="1533">
        <v>0</v>
      </c>
      <c r="L8" s="1533"/>
      <c r="M8" s="1534">
        <f>K8/K61</f>
        <v>0</v>
      </c>
      <c r="N8" s="1522">
        <v>24</v>
      </c>
      <c r="O8" s="1533">
        <v>66775</v>
      </c>
      <c r="P8" s="1533">
        <f t="shared" si="2"/>
        <v>2782.2916666666665</v>
      </c>
      <c r="Q8" s="1534">
        <f>O8/O61</f>
        <v>1.6996822033359029E-3</v>
      </c>
      <c r="R8" s="1522">
        <v>17</v>
      </c>
      <c r="S8" s="1533">
        <v>46000</v>
      </c>
      <c r="T8" s="1533">
        <f t="shared" si="3"/>
        <v>2705.8823529411766</v>
      </c>
      <c r="U8" s="1534">
        <f>S8/S61</f>
        <v>1.3101779321319285E-3</v>
      </c>
      <c r="V8" s="1522">
        <v>23</v>
      </c>
      <c r="W8" s="1533">
        <v>56000</v>
      </c>
      <c r="X8" s="1533">
        <f t="shared" si="4"/>
        <v>2434.782608695652</v>
      </c>
      <c r="Y8" s="1534">
        <f>W8/W61</f>
        <v>2.374540616496044E-3</v>
      </c>
      <c r="Z8" s="1522">
        <v>18</v>
      </c>
      <c r="AA8" s="1535">
        <v>57933</v>
      </c>
      <c r="AB8" s="1535">
        <f t="shared" si="5"/>
        <v>3218.5</v>
      </c>
      <c r="AC8" s="1535"/>
      <c r="AD8" s="1522" t="s">
        <v>1045</v>
      </c>
      <c r="AE8" s="1535"/>
      <c r="AF8" s="1522" t="s">
        <v>1045</v>
      </c>
      <c r="AG8" s="1535"/>
      <c r="AH8" s="1522" t="s">
        <v>1045</v>
      </c>
      <c r="AI8" s="1535"/>
    </row>
    <row r="9" spans="1:35" s="1520" customFormat="1" ht="12.75" customHeight="1" x14ac:dyDescent="0.25">
      <c r="A9" s="1532" t="s">
        <v>1601</v>
      </c>
      <c r="B9" s="1532"/>
      <c r="C9" s="1532"/>
      <c r="D9" s="1532"/>
      <c r="E9" s="1532"/>
      <c r="F9" s="1522">
        <v>12</v>
      </c>
      <c r="G9" s="1533">
        <v>13500</v>
      </c>
      <c r="H9" s="1533">
        <f t="shared" si="0"/>
        <v>1125</v>
      </c>
      <c r="I9" s="1534">
        <f>G9/G61</f>
        <v>3.3839850725650477E-4</v>
      </c>
      <c r="J9" s="1522">
        <v>10</v>
      </c>
      <c r="K9" s="1533">
        <v>10800</v>
      </c>
      <c r="L9" s="1533">
        <f t="shared" si="1"/>
        <v>1080</v>
      </c>
      <c r="M9" s="1534">
        <f>K9/K61</f>
        <v>2.6495984766575161E-4</v>
      </c>
      <c r="N9" s="1522">
        <v>8</v>
      </c>
      <c r="O9" s="1533">
        <v>9500</v>
      </c>
      <c r="P9" s="1533">
        <f t="shared" si="2"/>
        <v>1187.5</v>
      </c>
      <c r="Q9" s="1534">
        <f>O9/O61</f>
        <v>2.4181176984936094E-4</v>
      </c>
      <c r="R9" s="1522">
        <v>30</v>
      </c>
      <c r="S9" s="1533">
        <v>38816</v>
      </c>
      <c r="T9" s="1533">
        <f t="shared" si="3"/>
        <v>1293.8666666666666</v>
      </c>
      <c r="U9" s="1534">
        <f>S9/S61</f>
        <v>1.1055623176876726E-3</v>
      </c>
      <c r="V9" s="1522">
        <v>12</v>
      </c>
      <c r="W9" s="1533">
        <v>9400</v>
      </c>
      <c r="X9" s="1533">
        <f t="shared" si="4"/>
        <v>783.33333333333337</v>
      </c>
      <c r="Y9" s="1534">
        <f>W9/W61</f>
        <v>3.9858360348326449E-4</v>
      </c>
      <c r="Z9" s="1522">
        <v>19</v>
      </c>
      <c r="AA9" s="1535">
        <v>13300</v>
      </c>
      <c r="AB9" s="1535">
        <f t="shared" si="5"/>
        <v>700</v>
      </c>
      <c r="AC9" s="1535"/>
      <c r="AD9" s="1522">
        <v>2</v>
      </c>
      <c r="AE9" s="1535">
        <v>800</v>
      </c>
      <c r="AF9" s="1535">
        <f t="shared" si="6"/>
        <v>400</v>
      </c>
      <c r="AG9" s="1535"/>
      <c r="AH9" s="1522"/>
      <c r="AI9" s="1535"/>
    </row>
    <row r="10" spans="1:35" s="1520" customFormat="1" x14ac:dyDescent="0.25">
      <c r="A10" s="1537" t="s">
        <v>1499</v>
      </c>
      <c r="B10" s="1537"/>
      <c r="C10" s="1537"/>
      <c r="D10" s="1537"/>
      <c r="E10" s="1537"/>
      <c r="F10" s="1538">
        <f>SUM(F5:F9)</f>
        <v>1840</v>
      </c>
      <c r="G10" s="1539">
        <f>SUM(G5:G9)</f>
        <v>6522967</v>
      </c>
      <c r="H10" s="1533">
        <f t="shared" si="0"/>
        <v>3545.0907608695652</v>
      </c>
      <c r="I10" s="1534">
        <f>G10/G61</f>
        <v>0.16350831819877343</v>
      </c>
      <c r="J10" s="1538">
        <f>SUM(J5:J9)</f>
        <v>1729</v>
      </c>
      <c r="K10" s="1539">
        <f>SUM(K5:K9)</f>
        <v>6717034</v>
      </c>
      <c r="L10" s="1533">
        <f t="shared" si="1"/>
        <v>3884.924233661076</v>
      </c>
      <c r="M10" s="1534">
        <f>K10/K61</f>
        <v>0.16479113938941425</v>
      </c>
      <c r="N10" s="1538">
        <f>SUM(N5:N9)</f>
        <v>2319</v>
      </c>
      <c r="O10" s="1539">
        <f>SUM(O5:O9)</f>
        <v>7166675</v>
      </c>
      <c r="P10" s="1533">
        <f t="shared" si="2"/>
        <v>3090.4161276412246</v>
      </c>
      <c r="Q10" s="1534">
        <f>O10/O61</f>
        <v>0.18241961744054408</v>
      </c>
      <c r="R10" s="1538">
        <f>SUM(R5:R9)</f>
        <v>2020</v>
      </c>
      <c r="S10" s="1539">
        <f>SUM(S5:S9)</f>
        <v>6319424</v>
      </c>
      <c r="T10" s="1533">
        <f t="shared" si="3"/>
        <v>3128.4277227722773</v>
      </c>
      <c r="U10" s="1534">
        <f>S10/S61</f>
        <v>0.17999064931706263</v>
      </c>
      <c r="V10" s="1538">
        <f>SUM(V5:V9)</f>
        <v>1265</v>
      </c>
      <c r="W10" s="1539">
        <f>SUM(W5:W9)</f>
        <v>2897986</v>
      </c>
      <c r="X10" s="1533">
        <f t="shared" si="4"/>
        <v>2290.8980237154151</v>
      </c>
      <c r="Y10" s="1534">
        <f>W10/W61</f>
        <v>0.12288188326851615</v>
      </c>
      <c r="Z10" s="1538">
        <f>SUM(Z5:Z9)</f>
        <v>1335</v>
      </c>
      <c r="AA10" s="1540">
        <f>SUM(AA5:AA9)</f>
        <v>2985852</v>
      </c>
      <c r="AB10" s="1535">
        <f t="shared" si="5"/>
        <v>2236.5932584269663</v>
      </c>
      <c r="AC10" s="1540"/>
      <c r="AD10" s="1538">
        <f>SUM(AD5:AD9)</f>
        <v>1240</v>
      </c>
      <c r="AE10" s="1540">
        <f>SUM(AE5:AE9)</f>
        <v>2778936.32</v>
      </c>
      <c r="AF10" s="1535">
        <f t="shared" si="6"/>
        <v>2241.0776774193546</v>
      </c>
      <c r="AG10" s="1540"/>
      <c r="AH10" s="1538">
        <f>SUM(AH5:AH9)</f>
        <v>1195</v>
      </c>
      <c r="AI10" s="1540">
        <f>SUM(AI5:AI9)</f>
        <v>2836933.85</v>
      </c>
    </row>
    <row r="11" spans="1:35" s="1520" customFormat="1" ht="8.25" customHeight="1" x14ac:dyDescent="0.25">
      <c r="A11" s="1541"/>
      <c r="B11" s="1541"/>
      <c r="C11" s="1541"/>
      <c r="D11" s="1541"/>
      <c r="E11" s="1541"/>
      <c r="F11" s="1542"/>
      <c r="G11" s="1543"/>
      <c r="H11" s="1533"/>
      <c r="I11" s="1544"/>
      <c r="J11" s="1542"/>
      <c r="K11" s="1543"/>
      <c r="L11" s="1533"/>
      <c r="M11" s="1544"/>
      <c r="N11" s="1542"/>
      <c r="O11" s="1543"/>
      <c r="P11" s="1533"/>
      <c r="Q11" s="1544"/>
      <c r="R11" s="1542"/>
      <c r="S11" s="1543"/>
      <c r="T11" s="1533"/>
      <c r="U11" s="1544"/>
      <c r="V11" s="1542"/>
      <c r="W11" s="1543"/>
      <c r="X11" s="1533"/>
      <c r="Y11" s="1544"/>
      <c r="Z11" s="1542"/>
      <c r="AA11" s="1545"/>
      <c r="AB11" s="1535"/>
      <c r="AC11" s="1545"/>
      <c r="AD11" s="1542"/>
      <c r="AE11" s="1545"/>
      <c r="AF11" s="1535"/>
      <c r="AG11" s="1545"/>
      <c r="AH11" s="1542"/>
      <c r="AI11" s="1545"/>
    </row>
    <row r="12" spans="1:35" s="1520" customFormat="1" x14ac:dyDescent="0.25">
      <c r="A12" s="1521" t="s">
        <v>539</v>
      </c>
      <c r="B12" s="1689"/>
      <c r="C12" s="1689"/>
      <c r="D12" s="1689"/>
      <c r="E12" s="1689"/>
      <c r="F12" s="1809" t="s">
        <v>1503</v>
      </c>
      <c r="G12" s="1810"/>
      <c r="H12" s="1810"/>
      <c r="I12" s="1811"/>
      <c r="J12" s="1812" t="s">
        <v>1377</v>
      </c>
      <c r="K12" s="1813"/>
      <c r="L12" s="1813"/>
      <c r="M12" s="1814"/>
      <c r="N12" s="1812" t="s">
        <v>1389</v>
      </c>
      <c r="O12" s="1813"/>
      <c r="P12" s="1813"/>
      <c r="Q12" s="1814"/>
      <c r="R12" s="1812" t="s">
        <v>1388</v>
      </c>
      <c r="S12" s="1813"/>
      <c r="T12" s="1813"/>
      <c r="U12" s="1814"/>
      <c r="V12" s="1815" t="s">
        <v>583</v>
      </c>
      <c r="W12" s="1816"/>
      <c r="X12" s="1533"/>
      <c r="Y12" s="1546"/>
      <c r="Z12" s="1815" t="s">
        <v>363</v>
      </c>
      <c r="AA12" s="1816"/>
      <c r="AB12" s="1535"/>
      <c r="AC12" s="1522"/>
      <c r="AD12" s="1524" t="s">
        <v>1261</v>
      </c>
      <c r="AE12" s="1525"/>
      <c r="AF12" s="1535"/>
      <c r="AG12" s="1522"/>
      <c r="AH12" s="1524" t="s">
        <v>274</v>
      </c>
      <c r="AI12" s="1525"/>
    </row>
    <row r="13" spans="1:35" s="1520" customFormat="1" x14ac:dyDescent="0.25">
      <c r="A13" s="1526"/>
      <c r="B13" s="1526"/>
      <c r="C13" s="1526"/>
      <c r="D13" s="1526"/>
      <c r="E13" s="1526"/>
      <c r="F13" s="1527" t="s">
        <v>586</v>
      </c>
      <c r="G13" s="1527" t="s">
        <v>587</v>
      </c>
      <c r="H13" s="1528" t="s">
        <v>1596</v>
      </c>
      <c r="I13" s="1529" t="s">
        <v>1366</v>
      </c>
      <c r="J13" s="1527" t="s">
        <v>586</v>
      </c>
      <c r="K13" s="1527" t="s">
        <v>587</v>
      </c>
      <c r="L13" s="1528" t="s">
        <v>1596</v>
      </c>
      <c r="M13" s="1529" t="s">
        <v>1366</v>
      </c>
      <c r="N13" s="1527" t="s">
        <v>586</v>
      </c>
      <c r="O13" s="1527" t="s">
        <v>587</v>
      </c>
      <c r="P13" s="1528" t="s">
        <v>1596</v>
      </c>
      <c r="Q13" s="1529" t="s">
        <v>1366</v>
      </c>
      <c r="R13" s="1527" t="s">
        <v>586</v>
      </c>
      <c r="S13" s="1527" t="s">
        <v>587</v>
      </c>
      <c r="T13" s="1528" t="s">
        <v>1596</v>
      </c>
      <c r="U13" s="1529" t="s">
        <v>1366</v>
      </c>
      <c r="V13" s="1530"/>
      <c r="W13" s="1531"/>
      <c r="X13" s="1533"/>
      <c r="Y13" s="1546"/>
      <c r="Z13" s="1530"/>
      <c r="AA13" s="1531"/>
      <c r="AB13" s="1535"/>
      <c r="AC13" s="1522"/>
      <c r="AD13" s="1524"/>
      <c r="AE13" s="1525"/>
      <c r="AF13" s="1535"/>
      <c r="AG13" s="1522"/>
      <c r="AH13" s="1524"/>
      <c r="AI13" s="1525"/>
    </row>
    <row r="14" spans="1:35" s="1520" customFormat="1" x14ac:dyDescent="0.25">
      <c r="A14" s="1532" t="s">
        <v>1602</v>
      </c>
      <c r="B14" s="1532"/>
      <c r="C14" s="1532"/>
      <c r="D14" s="1532"/>
      <c r="E14" s="1532"/>
      <c r="F14" s="1522">
        <v>1825</v>
      </c>
      <c r="G14" s="1533">
        <v>7465385</v>
      </c>
      <c r="H14" s="1533">
        <f>G14/F14</f>
        <v>4090.6219178082192</v>
      </c>
      <c r="I14" s="1534">
        <f>G14/G61</f>
        <v>0.18713149185889644</v>
      </c>
      <c r="J14" s="1522">
        <v>1939</v>
      </c>
      <c r="K14" s="1533">
        <v>7487506</v>
      </c>
      <c r="L14" s="1533">
        <f>K14/J14</f>
        <v>3861.5296544610624</v>
      </c>
      <c r="M14" s="1534">
        <f>K14/K61</f>
        <v>0.18369337492188897</v>
      </c>
      <c r="N14" s="1522">
        <v>1856</v>
      </c>
      <c r="O14" s="1533">
        <v>7132497</v>
      </c>
      <c r="P14" s="1533">
        <f>O14/N14</f>
        <v>3842.9401939655172</v>
      </c>
      <c r="Q14" s="1534">
        <f>O14/O61</f>
        <v>0.18154965505423762</v>
      </c>
      <c r="R14" s="1522">
        <v>1710</v>
      </c>
      <c r="S14" s="1533">
        <v>6539070</v>
      </c>
      <c r="T14" s="1533">
        <f>S14/R14</f>
        <v>3824.0175438596493</v>
      </c>
      <c r="U14" s="1534">
        <f>S14/S61</f>
        <v>0.18624663501447675</v>
      </c>
      <c r="V14" s="1522">
        <v>1283</v>
      </c>
      <c r="W14" s="1533">
        <v>4717720</v>
      </c>
      <c r="X14" s="1533">
        <f>W14/V14</f>
        <v>3677.1005455962586</v>
      </c>
      <c r="Y14" s="1534">
        <f>W14/W61</f>
        <v>0.20004317423670923</v>
      </c>
      <c r="Z14" s="1522">
        <v>1281</v>
      </c>
      <c r="AA14" s="1535">
        <v>4302925</v>
      </c>
      <c r="AB14" s="1535">
        <f>AA14/Z14</f>
        <v>3359.0359094457453</v>
      </c>
      <c r="AC14" s="1535"/>
      <c r="AD14" s="1522">
        <v>2192</v>
      </c>
      <c r="AE14" s="1535">
        <v>7547818.7699999996</v>
      </c>
      <c r="AF14" s="1535">
        <f>AE14/AD14</f>
        <v>3443.3479790145984</v>
      </c>
      <c r="AG14" s="1535"/>
      <c r="AH14" s="1522">
        <v>2322</v>
      </c>
      <c r="AI14" s="1535">
        <v>8031385.3600000003</v>
      </c>
    </row>
    <row r="15" spans="1:35" s="1520" customFormat="1" x14ac:dyDescent="0.25">
      <c r="A15" s="1532" t="s">
        <v>1603</v>
      </c>
      <c r="B15" s="1532"/>
      <c r="C15" s="1532"/>
      <c r="D15" s="1532"/>
      <c r="E15" s="1532"/>
      <c r="F15" s="1522">
        <v>1874</v>
      </c>
      <c r="G15" s="1533">
        <v>8343501</v>
      </c>
      <c r="H15" s="1533">
        <f>G15/F15</f>
        <v>4452.2417289220921</v>
      </c>
      <c r="I15" s="1534">
        <f>G15/G61</f>
        <v>0.2091428358291226</v>
      </c>
      <c r="J15" s="1522">
        <v>1976</v>
      </c>
      <c r="K15" s="1533">
        <v>8150186</v>
      </c>
      <c r="L15" s="1533">
        <f>K15/J15</f>
        <v>4124.5880566801616</v>
      </c>
      <c r="M15" s="1534">
        <f>K15/K61</f>
        <v>0.19995111490810566</v>
      </c>
      <c r="N15" s="1522">
        <v>1921</v>
      </c>
      <c r="O15" s="1533">
        <v>7593150</v>
      </c>
      <c r="P15" s="1533">
        <f>O15/N15</f>
        <v>3952.7069234773558</v>
      </c>
      <c r="Q15" s="1534">
        <f>O15/O61</f>
        <v>0.1932750568664921</v>
      </c>
      <c r="R15" s="1522">
        <v>1805</v>
      </c>
      <c r="S15" s="1533">
        <v>8250546</v>
      </c>
      <c r="T15" s="1533">
        <f>S15/R15</f>
        <v>4570.9396121883656</v>
      </c>
      <c r="U15" s="1534">
        <f>S15/S61</f>
        <v>0.23499311515737728</v>
      </c>
      <c r="V15" s="1522">
        <v>1051</v>
      </c>
      <c r="W15" s="1533">
        <v>3948988</v>
      </c>
      <c r="X15" s="1533">
        <f>W15/V15</f>
        <v>3757.3625118934347</v>
      </c>
      <c r="Y15" s="1534">
        <f>W15/W61</f>
        <v>0.16744700714384786</v>
      </c>
      <c r="Z15" s="1522">
        <v>1081</v>
      </c>
      <c r="AA15" s="1535">
        <v>4034212</v>
      </c>
      <c r="AB15" s="1535">
        <f>AA15/Z15</f>
        <v>3731.9259944495839</v>
      </c>
      <c r="AC15" s="1535"/>
      <c r="AD15" s="1522"/>
      <c r="AE15" s="1535"/>
      <c r="AF15" s="1522" t="s">
        <v>1045</v>
      </c>
      <c r="AG15" s="1535"/>
      <c r="AH15" s="1522"/>
      <c r="AI15" s="1535"/>
    </row>
    <row r="16" spans="1:35" s="1520" customFormat="1" x14ac:dyDescent="0.25">
      <c r="A16" s="1532" t="s">
        <v>1604</v>
      </c>
      <c r="B16" s="1532"/>
      <c r="C16" s="1532"/>
      <c r="D16" s="1532"/>
      <c r="E16" s="1532"/>
      <c r="F16" s="1522">
        <v>360</v>
      </c>
      <c r="G16" s="1533">
        <v>2999265</v>
      </c>
      <c r="H16" s="1533">
        <f>G16/F16</f>
        <v>8331.2916666666661</v>
      </c>
      <c r="I16" s="1534">
        <f>G16/G61</f>
        <v>7.5181244360494878E-2</v>
      </c>
      <c r="J16" s="1522">
        <v>642</v>
      </c>
      <c r="K16" s="1533">
        <v>4776806</v>
      </c>
      <c r="L16" s="1533">
        <f>K16/J16</f>
        <v>7440.5077881619936</v>
      </c>
      <c r="M16" s="1534">
        <f>K16/K61</f>
        <v>0.11719090648970816</v>
      </c>
      <c r="N16" s="1522">
        <v>608</v>
      </c>
      <c r="O16" s="1533">
        <v>4141953</v>
      </c>
      <c r="P16" s="1533">
        <f>O16/N16</f>
        <v>6812.4226973684208</v>
      </c>
      <c r="Q16" s="1534">
        <f>O16/O61</f>
        <v>0.10542873532240737</v>
      </c>
      <c r="R16" s="1522">
        <v>298</v>
      </c>
      <c r="S16" s="1533">
        <v>2128533</v>
      </c>
      <c r="T16" s="1533">
        <f>S16/R16</f>
        <v>7142.7281879194634</v>
      </c>
      <c r="U16" s="1534">
        <f>S16/S61</f>
        <v>6.0625151400316747E-2</v>
      </c>
      <c r="V16" s="1522">
        <v>267</v>
      </c>
      <c r="W16" s="1533">
        <v>1709733</v>
      </c>
      <c r="X16" s="1533">
        <f>W16/V16</f>
        <v>6403.4943820224717</v>
      </c>
      <c r="Y16" s="1534">
        <f>W16/W61</f>
        <v>7.2496972354707687E-2</v>
      </c>
      <c r="Z16" s="1522">
        <v>293</v>
      </c>
      <c r="AA16" s="1535">
        <v>2048045</v>
      </c>
      <c r="AB16" s="1535">
        <f>AA16/Z16</f>
        <v>6989.9146757679182</v>
      </c>
      <c r="AC16" s="1535"/>
      <c r="AD16" s="1522">
        <v>363</v>
      </c>
      <c r="AE16" s="1535">
        <v>2636320.4900000002</v>
      </c>
      <c r="AF16" s="1535">
        <f>AE16/AD16</f>
        <v>7262.5908815427001</v>
      </c>
      <c r="AG16" s="1535"/>
      <c r="AH16" s="1522">
        <v>256</v>
      </c>
      <c r="AI16" s="1535">
        <v>1652500.49</v>
      </c>
    </row>
    <row r="17" spans="1:35" s="1520" customFormat="1" x14ac:dyDescent="0.25">
      <c r="A17" s="1532" t="s">
        <v>1605</v>
      </c>
      <c r="B17" s="1532"/>
      <c r="C17" s="1532"/>
      <c r="D17" s="1532"/>
      <c r="E17" s="1532"/>
      <c r="F17" s="1522">
        <v>108</v>
      </c>
      <c r="G17" s="1533">
        <v>221366</v>
      </c>
      <c r="H17" s="1533">
        <f>G17/F17</f>
        <v>2049.6851851851852</v>
      </c>
      <c r="I17" s="1534">
        <f>G17/G61</f>
        <v>5.5488832560995141E-3</v>
      </c>
      <c r="J17" s="1522">
        <v>90</v>
      </c>
      <c r="K17" s="1533">
        <v>190198</v>
      </c>
      <c r="L17" s="1533">
        <f>K17/J17</f>
        <v>2113.3111111111111</v>
      </c>
      <c r="M17" s="1534">
        <f>K17/K61</f>
        <v>4.6661882505861681E-3</v>
      </c>
      <c r="N17" s="1522">
        <v>78</v>
      </c>
      <c r="O17" s="1533">
        <v>159898</v>
      </c>
      <c r="P17" s="1533">
        <f>O17/N17</f>
        <v>2049.9743589743589</v>
      </c>
      <c r="Q17" s="1534">
        <f>O17/O61</f>
        <v>4.0700229868813808E-3</v>
      </c>
      <c r="R17" s="1522">
        <v>98</v>
      </c>
      <c r="S17" s="1533">
        <v>198092</v>
      </c>
      <c r="T17" s="1533">
        <f>S17/R17</f>
        <v>2021.3469387755101</v>
      </c>
      <c r="U17" s="1534">
        <f>S17/S61</f>
        <v>5.6420818898234347E-3</v>
      </c>
      <c r="V17" s="1522">
        <v>141</v>
      </c>
      <c r="W17" s="1533">
        <v>257494</v>
      </c>
      <c r="X17" s="1533">
        <f>W17/V17</f>
        <v>1826.1985815602836</v>
      </c>
      <c r="Y17" s="1534">
        <f>W17/W61</f>
        <v>1.0918392169714863E-2</v>
      </c>
      <c r="Z17" s="1522">
        <v>169</v>
      </c>
      <c r="AA17" s="1535">
        <v>310231</v>
      </c>
      <c r="AB17" s="1535">
        <f>AA17/Z17</f>
        <v>1835.6863905325445</v>
      </c>
      <c r="AC17" s="1535"/>
      <c r="AD17" s="1522">
        <v>188</v>
      </c>
      <c r="AE17" s="1535">
        <v>344125</v>
      </c>
      <c r="AF17" s="1535">
        <f>AE17/AD17</f>
        <v>1830.4521276595744</v>
      </c>
      <c r="AG17" s="1535"/>
      <c r="AH17" s="1522">
        <v>278</v>
      </c>
      <c r="AI17" s="1535">
        <v>443016</v>
      </c>
    </row>
    <row r="18" spans="1:35" s="1520" customFormat="1" x14ac:dyDescent="0.25">
      <c r="A18" s="1537" t="s">
        <v>1499</v>
      </c>
      <c r="B18" s="1537"/>
      <c r="C18" s="1537"/>
      <c r="D18" s="1537"/>
      <c r="E18" s="1537"/>
      <c r="F18" s="1538">
        <f>SUM(F14:F17)</f>
        <v>4167</v>
      </c>
      <c r="G18" s="1539">
        <f>SUM(G14:G17)</f>
        <v>19029517</v>
      </c>
      <c r="H18" s="1533">
        <f>G18/F18</f>
        <v>4566.7187425005995</v>
      </c>
      <c r="I18" s="1534">
        <f>G18/G61</f>
        <v>0.47700445530461344</v>
      </c>
      <c r="J18" s="1538">
        <f>SUM(J14:J17)</f>
        <v>4647</v>
      </c>
      <c r="K18" s="1539">
        <f>SUM(K14:K17)</f>
        <v>20604696</v>
      </c>
      <c r="L18" s="1533">
        <f>K18/J18</f>
        <v>4433.9780503550674</v>
      </c>
      <c r="M18" s="1534">
        <f>K18/K61</f>
        <v>0.50550158457028893</v>
      </c>
      <c r="N18" s="1538">
        <f>SUM(N14:N17)</f>
        <v>4463</v>
      </c>
      <c r="O18" s="1539">
        <f>SUM(O14:O17)</f>
        <v>19027498</v>
      </c>
      <c r="P18" s="1533">
        <f>O18/N18</f>
        <v>4263.3874075733811</v>
      </c>
      <c r="Q18" s="1534">
        <f>O18/O61</f>
        <v>0.48432347023001848</v>
      </c>
      <c r="R18" s="1538">
        <f>SUM(R14:R17)</f>
        <v>3911</v>
      </c>
      <c r="S18" s="1539">
        <f>SUM(S14:S17)</f>
        <v>17116241</v>
      </c>
      <c r="T18" s="1533">
        <f>S18/R18</f>
        <v>4376.4359498849399</v>
      </c>
      <c r="U18" s="1534">
        <f>S18/S61</f>
        <v>0.48750698346199423</v>
      </c>
      <c r="V18" s="1538">
        <f>SUM(V14:V17)</f>
        <v>2742</v>
      </c>
      <c r="W18" s="1539">
        <f>SUM(W14:W17)</f>
        <v>10633935</v>
      </c>
      <c r="X18" s="1533">
        <f>W18/V18</f>
        <v>3878.1673960612693</v>
      </c>
      <c r="Y18" s="1534">
        <f>W18/W61</f>
        <v>0.45090554590497961</v>
      </c>
      <c r="Z18" s="1538">
        <f t="shared" ref="Z18:AI18" si="7">SUM(Z14:Z17)</f>
        <v>2824</v>
      </c>
      <c r="AA18" s="1540">
        <f t="shared" si="7"/>
        <v>10695413</v>
      </c>
      <c r="AB18" s="1535">
        <f>AA18/Z18</f>
        <v>3787.3275495750709</v>
      </c>
      <c r="AC18" s="1540"/>
      <c r="AD18" s="1538">
        <f t="shared" si="7"/>
        <v>2743</v>
      </c>
      <c r="AE18" s="1540">
        <f t="shared" si="7"/>
        <v>10528264.26</v>
      </c>
      <c r="AF18" s="1535">
        <f>AE18/AD18</f>
        <v>3838.2297703244622</v>
      </c>
      <c r="AG18" s="1540"/>
      <c r="AH18" s="1538">
        <f t="shared" si="7"/>
        <v>2856</v>
      </c>
      <c r="AI18" s="1540">
        <f t="shared" si="7"/>
        <v>10126901.85</v>
      </c>
    </row>
    <row r="19" spans="1:35" s="1520" customFormat="1" ht="8.25" customHeight="1" x14ac:dyDescent="0.25">
      <c r="A19" s="1541"/>
      <c r="B19" s="1541"/>
      <c r="C19" s="1541"/>
      <c r="D19" s="1541"/>
      <c r="E19" s="1541"/>
      <c r="F19" s="1542"/>
      <c r="G19" s="1543"/>
      <c r="H19" s="1533"/>
      <c r="I19" s="1544"/>
      <c r="J19" s="1542"/>
      <c r="K19" s="1543"/>
      <c r="L19" s="1533"/>
      <c r="M19" s="1544"/>
      <c r="N19" s="1542"/>
      <c r="O19" s="1543"/>
      <c r="P19" s="1533"/>
      <c r="Q19" s="1544"/>
      <c r="R19" s="1542"/>
      <c r="S19" s="1543"/>
      <c r="T19" s="1533"/>
      <c r="U19" s="1544"/>
      <c r="V19" s="1542"/>
      <c r="W19" s="1543"/>
      <c r="X19" s="1533"/>
      <c r="Y19" s="1544"/>
      <c r="Z19" s="1542"/>
      <c r="AA19" s="1545"/>
      <c r="AB19" s="1535"/>
      <c r="AC19" s="1545"/>
      <c r="AD19" s="1542"/>
      <c r="AE19" s="1545"/>
      <c r="AF19" s="1535"/>
      <c r="AG19" s="1545"/>
      <c r="AH19" s="1542"/>
      <c r="AI19" s="1545"/>
    </row>
    <row r="20" spans="1:35" s="1520" customFormat="1" x14ac:dyDescent="0.25">
      <c r="A20" s="1521" t="s">
        <v>540</v>
      </c>
      <c r="B20" s="1689"/>
      <c r="C20" s="1689"/>
      <c r="D20" s="1689"/>
      <c r="E20" s="1689"/>
      <c r="F20" s="1809" t="s">
        <v>1503</v>
      </c>
      <c r="G20" s="1810"/>
      <c r="H20" s="1810"/>
      <c r="I20" s="1811"/>
      <c r="J20" s="1812" t="s">
        <v>1377</v>
      </c>
      <c r="K20" s="1813"/>
      <c r="L20" s="1813"/>
      <c r="M20" s="1814"/>
      <c r="N20" s="1812" t="s">
        <v>1389</v>
      </c>
      <c r="O20" s="1813"/>
      <c r="P20" s="1813"/>
      <c r="Q20" s="1814"/>
      <c r="R20" s="1812" t="s">
        <v>1388</v>
      </c>
      <c r="S20" s="1813"/>
      <c r="T20" s="1813"/>
      <c r="U20" s="1814"/>
      <c r="V20" s="1815" t="s">
        <v>583</v>
      </c>
      <c r="W20" s="1816"/>
      <c r="X20" s="1533"/>
      <c r="Y20" s="1546"/>
      <c r="Z20" s="1815" t="s">
        <v>363</v>
      </c>
      <c r="AA20" s="1816"/>
      <c r="AB20" s="1535"/>
      <c r="AC20" s="1522"/>
      <c r="AD20" s="1524" t="s">
        <v>1261</v>
      </c>
      <c r="AE20" s="1525"/>
      <c r="AF20" s="1535"/>
      <c r="AG20" s="1522"/>
      <c r="AH20" s="1524" t="s">
        <v>274</v>
      </c>
      <c r="AI20" s="1525"/>
    </row>
    <row r="21" spans="1:35" s="1520" customFormat="1" x14ac:dyDescent="0.25">
      <c r="A21" s="1526"/>
      <c r="B21" s="1526"/>
      <c r="C21" s="1526"/>
      <c r="D21" s="1526"/>
      <c r="E21" s="1526"/>
      <c r="F21" s="1527" t="s">
        <v>586</v>
      </c>
      <c r="G21" s="1527" t="s">
        <v>587</v>
      </c>
      <c r="H21" s="1528" t="s">
        <v>1596</v>
      </c>
      <c r="I21" s="1529" t="s">
        <v>1366</v>
      </c>
      <c r="J21" s="1527" t="s">
        <v>586</v>
      </c>
      <c r="K21" s="1527" t="s">
        <v>587</v>
      </c>
      <c r="L21" s="1528" t="s">
        <v>1596</v>
      </c>
      <c r="M21" s="1529" t="s">
        <v>1366</v>
      </c>
      <c r="N21" s="1527" t="s">
        <v>586</v>
      </c>
      <c r="O21" s="1527" t="s">
        <v>587</v>
      </c>
      <c r="P21" s="1528" t="s">
        <v>1596</v>
      </c>
      <c r="Q21" s="1529" t="s">
        <v>1366</v>
      </c>
      <c r="R21" s="1527" t="s">
        <v>586</v>
      </c>
      <c r="S21" s="1527" t="s">
        <v>587</v>
      </c>
      <c r="T21" s="1528" t="s">
        <v>1596</v>
      </c>
      <c r="U21" s="1529" t="s">
        <v>1366</v>
      </c>
      <c r="V21" s="1530"/>
      <c r="W21" s="1531"/>
      <c r="X21" s="1533"/>
      <c r="Y21" s="1546"/>
      <c r="Z21" s="1530"/>
      <c r="AA21" s="1531"/>
      <c r="AB21" s="1535"/>
      <c r="AC21" s="1522"/>
      <c r="AD21" s="1524"/>
      <c r="AE21" s="1525"/>
      <c r="AF21" s="1535"/>
      <c r="AG21" s="1522"/>
      <c r="AH21" s="1524"/>
      <c r="AI21" s="1525"/>
    </row>
    <row r="22" spans="1:35" s="1520" customFormat="1" x14ac:dyDescent="0.25">
      <c r="A22" s="1532" t="s">
        <v>1606</v>
      </c>
      <c r="B22" s="1541"/>
      <c r="C22" s="1541"/>
      <c r="D22" s="1541"/>
      <c r="E22" s="1541"/>
      <c r="F22" s="1542">
        <v>399</v>
      </c>
      <c r="G22" s="1545">
        <v>637895</v>
      </c>
      <c r="H22" s="1533">
        <f>G22/F22</f>
        <v>1598.734335839599</v>
      </c>
      <c r="I22" s="1534">
        <f>G22/G61</f>
        <v>1.5989830798991713E-2</v>
      </c>
      <c r="J22" s="1542">
        <v>336</v>
      </c>
      <c r="K22" s="1545">
        <v>645685</v>
      </c>
      <c r="L22" s="1533">
        <f>K22/J22</f>
        <v>1921.6815476190477</v>
      </c>
      <c r="M22" s="1534">
        <f>K22/K61</f>
        <v>1.5840796225931555E-2</v>
      </c>
      <c r="N22" s="1528">
        <v>344</v>
      </c>
      <c r="O22" s="1533">
        <v>630588</v>
      </c>
      <c r="P22" s="1533">
        <f>O22/N22</f>
        <v>1833.1046511627908</v>
      </c>
      <c r="Q22" s="1534">
        <f>O22/O61</f>
        <v>1.6050905297449351E-2</v>
      </c>
      <c r="R22" s="1528">
        <v>352</v>
      </c>
      <c r="S22" s="1533">
        <v>525260</v>
      </c>
      <c r="T22" s="1533">
        <f>S22/R22</f>
        <v>1492.215909090909</v>
      </c>
      <c r="U22" s="1534">
        <f>S22/S61</f>
        <v>1.4960523057209062E-2</v>
      </c>
      <c r="V22" s="1522">
        <v>325</v>
      </c>
      <c r="W22" s="1533">
        <v>514089</v>
      </c>
      <c r="X22" s="1533">
        <f>W22/V22</f>
        <v>1581.8123076923077</v>
      </c>
      <c r="Y22" s="1534">
        <f>W22/W61</f>
        <v>2.1798664482032763E-2</v>
      </c>
      <c r="Z22" s="1522">
        <v>277</v>
      </c>
      <c r="AA22" s="1535">
        <v>373270</v>
      </c>
      <c r="AB22" s="1535">
        <f>AA22/Z22</f>
        <v>1347.5451263537907</v>
      </c>
      <c r="AC22" s="1535"/>
      <c r="AD22" s="1522">
        <v>238</v>
      </c>
      <c r="AE22" s="1535">
        <v>419694</v>
      </c>
      <c r="AF22" s="1535">
        <f>AE22/AD22</f>
        <v>1763.420168067227</v>
      </c>
      <c r="AG22" s="1535"/>
      <c r="AH22" s="1522">
        <v>319</v>
      </c>
      <c r="AI22" s="1535">
        <v>369518</v>
      </c>
    </row>
    <row r="23" spans="1:35" s="1520" customFormat="1" x14ac:dyDescent="0.25">
      <c r="A23" s="1532" t="s">
        <v>1607</v>
      </c>
      <c r="B23" s="1532"/>
      <c r="C23" s="1532"/>
      <c r="D23" s="1532"/>
      <c r="E23" s="1532"/>
      <c r="F23" s="1528">
        <v>164</v>
      </c>
      <c r="G23" s="1533">
        <v>161919</v>
      </c>
      <c r="H23" s="1533">
        <f>G23/F23</f>
        <v>987.31097560975604</v>
      </c>
      <c r="I23" s="1534">
        <f>G23/G61</f>
        <v>4.0587516960345184E-3</v>
      </c>
      <c r="J23" s="1528">
        <v>142</v>
      </c>
      <c r="K23" s="1533">
        <v>161919</v>
      </c>
      <c r="L23" s="1533">
        <f>K23/J23</f>
        <v>1140.2746478873239</v>
      </c>
      <c r="M23" s="1534">
        <f>K23/K61</f>
        <v>3.9724105161287803E-3</v>
      </c>
      <c r="N23" s="1528">
        <v>155</v>
      </c>
      <c r="O23" s="1533">
        <v>161918</v>
      </c>
      <c r="P23" s="1533">
        <f>O23/N23</f>
        <v>1044.6322580645162</v>
      </c>
      <c r="Q23" s="1534">
        <f>O23/O61</f>
        <v>4.1214398053125078E-3</v>
      </c>
      <c r="R23" s="1528">
        <v>131</v>
      </c>
      <c r="S23" s="1533">
        <v>164032</v>
      </c>
      <c r="T23" s="1533">
        <f>S23/R23</f>
        <v>1252.1526717557251</v>
      </c>
      <c r="U23" s="1534">
        <f>S23/S61</f>
        <v>4.6719805774666197E-3</v>
      </c>
      <c r="V23" s="1522">
        <v>117</v>
      </c>
      <c r="W23" s="1533">
        <v>170298</v>
      </c>
      <c r="X23" s="1533">
        <f>W23/V23</f>
        <v>1455.5384615384614</v>
      </c>
      <c r="Y23" s="1534">
        <f>W23/W61</f>
        <v>7.2210628197864873E-3</v>
      </c>
      <c r="Z23" s="1522">
        <v>160</v>
      </c>
      <c r="AA23" s="1535">
        <v>200758</v>
      </c>
      <c r="AB23" s="1535">
        <f>AA23/Z23</f>
        <v>1254.7375</v>
      </c>
      <c r="AC23" s="1535"/>
      <c r="AD23" s="1522">
        <v>127</v>
      </c>
      <c r="AE23" s="1535">
        <v>159069</v>
      </c>
      <c r="AF23" s="1535">
        <f>AE23/AD23</f>
        <v>1252.5118110236222</v>
      </c>
      <c r="AG23" s="1535"/>
      <c r="AH23" s="1522">
        <v>188</v>
      </c>
      <c r="AI23" s="1535">
        <v>187513</v>
      </c>
    </row>
    <row r="24" spans="1:35" s="1520" customFormat="1" x14ac:dyDescent="0.25">
      <c r="A24" s="1537" t="s">
        <v>1499</v>
      </c>
      <c r="B24" s="1537"/>
      <c r="C24" s="1537"/>
      <c r="D24" s="1537"/>
      <c r="E24" s="1537"/>
      <c r="F24" s="1538">
        <f>SUM(F22:F23)</f>
        <v>563</v>
      </c>
      <c r="G24" s="1539">
        <f>SUM(G22:G23)</f>
        <v>799814</v>
      </c>
      <c r="H24" s="1533">
        <f>G24/F24</f>
        <v>1420.6287744227354</v>
      </c>
      <c r="I24" s="1534">
        <f>G24/G61</f>
        <v>2.0048582495026231E-2</v>
      </c>
      <c r="J24" s="1538">
        <f>SUM(J22:J23)</f>
        <v>478</v>
      </c>
      <c r="K24" s="1539">
        <f>SUM(K22:K23)</f>
        <v>807604</v>
      </c>
      <c r="L24" s="1533">
        <f>K24/J24</f>
        <v>1689.5481171548117</v>
      </c>
      <c r="M24" s="1534">
        <f>K24/K61</f>
        <v>1.9813206742060337E-2</v>
      </c>
      <c r="N24" s="1538">
        <f>N22+N23</f>
        <v>499</v>
      </c>
      <c r="O24" s="1539">
        <v>792506</v>
      </c>
      <c r="P24" s="1533">
        <f>O24/N24</f>
        <v>1588.1883767535071</v>
      </c>
      <c r="Q24" s="1534">
        <f>O24/O61</f>
        <v>2.0172345102761856E-2</v>
      </c>
      <c r="R24" s="1538">
        <f>R22+R23</f>
        <v>483</v>
      </c>
      <c r="S24" s="1539">
        <f>SUM(S22:S23)</f>
        <v>689292</v>
      </c>
      <c r="T24" s="1533">
        <f>S24/R24</f>
        <v>1427.1055900621118</v>
      </c>
      <c r="U24" s="1534">
        <f>S24/S61</f>
        <v>1.9632503634675683E-2</v>
      </c>
      <c r="V24" s="1538">
        <f>SUM(V22:V23)</f>
        <v>442</v>
      </c>
      <c r="W24" s="1539">
        <v>684387</v>
      </c>
      <c r="X24" s="1533">
        <f>W24/V24</f>
        <v>1548.3868778280544</v>
      </c>
      <c r="Y24" s="1534">
        <f>W24/W61</f>
        <v>2.9019727301819249E-2</v>
      </c>
      <c r="Z24" s="1538">
        <f t="shared" ref="Z24:AI24" si="8">SUM(Z22:Z23)</f>
        <v>437</v>
      </c>
      <c r="AA24" s="1540">
        <f t="shared" si="8"/>
        <v>574028</v>
      </c>
      <c r="AB24" s="1535">
        <f>AA24/Z24</f>
        <v>1313.5652173913043</v>
      </c>
      <c r="AC24" s="1540"/>
      <c r="AD24" s="1538">
        <f t="shared" si="8"/>
        <v>365</v>
      </c>
      <c r="AE24" s="1540">
        <f t="shared" si="8"/>
        <v>578763</v>
      </c>
      <c r="AF24" s="1535">
        <f>AE24/AD24</f>
        <v>1585.6520547945206</v>
      </c>
      <c r="AG24" s="1540"/>
      <c r="AH24" s="1538">
        <f t="shared" si="8"/>
        <v>507</v>
      </c>
      <c r="AI24" s="1540">
        <f t="shared" si="8"/>
        <v>557031</v>
      </c>
    </row>
    <row r="25" spans="1:35" s="1520" customFormat="1" ht="8.25" customHeight="1" x14ac:dyDescent="0.25">
      <c r="A25" s="1541"/>
      <c r="B25" s="1541"/>
      <c r="C25" s="1541"/>
      <c r="D25" s="1541"/>
      <c r="E25" s="1541"/>
      <c r="F25" s="1542"/>
      <c r="G25" s="1543"/>
      <c r="H25" s="1533"/>
      <c r="I25" s="1534"/>
      <c r="J25" s="1542"/>
      <c r="K25" s="1543"/>
      <c r="L25" s="1533"/>
      <c r="M25" s="1534"/>
      <c r="N25" s="1542"/>
      <c r="O25" s="1543"/>
      <c r="P25" s="1533"/>
      <c r="Q25" s="1534"/>
      <c r="R25" s="1542"/>
      <c r="S25" s="1543"/>
      <c r="T25" s="1533"/>
      <c r="U25" s="1534"/>
      <c r="V25" s="1542"/>
      <c r="W25" s="1543"/>
      <c r="X25" s="1533"/>
      <c r="Y25" s="1534"/>
      <c r="Z25" s="1542"/>
      <c r="AA25" s="1545"/>
      <c r="AB25" s="1535"/>
      <c r="AC25" s="1545"/>
      <c r="AD25" s="1542"/>
      <c r="AE25" s="1545"/>
      <c r="AF25" s="1535"/>
      <c r="AG25" s="1545"/>
      <c r="AH25" s="1542"/>
      <c r="AI25" s="1545"/>
    </row>
    <row r="26" spans="1:35" s="1520" customFormat="1" x14ac:dyDescent="0.25">
      <c r="A26" s="1521" t="s">
        <v>541</v>
      </c>
      <c r="B26" s="1689"/>
      <c r="C26" s="1689"/>
      <c r="D26" s="1689"/>
      <c r="E26" s="1689"/>
      <c r="F26" s="1809" t="s">
        <v>1503</v>
      </c>
      <c r="G26" s="1810"/>
      <c r="H26" s="1810"/>
      <c r="I26" s="1811"/>
      <c r="J26" s="1812" t="s">
        <v>1377</v>
      </c>
      <c r="K26" s="1813"/>
      <c r="L26" s="1813"/>
      <c r="M26" s="1814"/>
      <c r="N26" s="1812" t="s">
        <v>1389</v>
      </c>
      <c r="O26" s="1813"/>
      <c r="P26" s="1813"/>
      <c r="Q26" s="1814"/>
      <c r="R26" s="1812" t="s">
        <v>1388</v>
      </c>
      <c r="S26" s="1813"/>
      <c r="T26" s="1813"/>
      <c r="U26" s="1814"/>
      <c r="V26" s="1815" t="s">
        <v>583</v>
      </c>
      <c r="W26" s="1816"/>
      <c r="X26" s="1533"/>
      <c r="Y26" s="1534"/>
      <c r="Z26" s="1815" t="s">
        <v>363</v>
      </c>
      <c r="AA26" s="1816"/>
      <c r="AB26" s="1535"/>
      <c r="AC26" s="1522"/>
      <c r="AD26" s="1524" t="s">
        <v>1261</v>
      </c>
      <c r="AE26" s="1525"/>
      <c r="AF26" s="1535"/>
      <c r="AG26" s="1522"/>
      <c r="AH26" s="1524" t="s">
        <v>274</v>
      </c>
      <c r="AI26" s="1525"/>
    </row>
    <row r="27" spans="1:35" s="1520" customFormat="1" x14ac:dyDescent="0.25">
      <c r="A27" s="1526"/>
      <c r="B27" s="1526"/>
      <c r="C27" s="1526"/>
      <c r="D27" s="1526"/>
      <c r="E27" s="1526"/>
      <c r="F27" s="1527" t="s">
        <v>586</v>
      </c>
      <c r="G27" s="1527" t="s">
        <v>587</v>
      </c>
      <c r="H27" s="1528" t="s">
        <v>1596</v>
      </c>
      <c r="I27" s="1529" t="s">
        <v>1366</v>
      </c>
      <c r="J27" s="1527" t="s">
        <v>586</v>
      </c>
      <c r="K27" s="1527" t="s">
        <v>587</v>
      </c>
      <c r="L27" s="1528" t="s">
        <v>1596</v>
      </c>
      <c r="M27" s="1529" t="s">
        <v>1366</v>
      </c>
      <c r="N27" s="1527" t="s">
        <v>586</v>
      </c>
      <c r="O27" s="1527" t="s">
        <v>587</v>
      </c>
      <c r="P27" s="1528" t="s">
        <v>1596</v>
      </c>
      <c r="Q27" s="1529" t="s">
        <v>1366</v>
      </c>
      <c r="R27" s="1527" t="s">
        <v>586</v>
      </c>
      <c r="S27" s="1527" t="s">
        <v>587</v>
      </c>
      <c r="T27" s="1528" t="s">
        <v>1596</v>
      </c>
      <c r="U27" s="1529" t="s">
        <v>1366</v>
      </c>
      <c r="V27" s="1530"/>
      <c r="W27" s="1531"/>
      <c r="X27" s="1533"/>
      <c r="Y27" s="1534"/>
      <c r="Z27" s="1530"/>
      <c r="AA27" s="1531"/>
      <c r="AB27" s="1535"/>
      <c r="AC27" s="1522"/>
      <c r="AD27" s="1524"/>
      <c r="AE27" s="1525"/>
      <c r="AF27" s="1535"/>
      <c r="AG27" s="1522"/>
      <c r="AH27" s="1524"/>
      <c r="AI27" s="1525"/>
    </row>
    <row r="28" spans="1:35" s="1520" customFormat="1" x14ac:dyDescent="0.25">
      <c r="A28" s="1532" t="s">
        <v>1608</v>
      </c>
      <c r="B28" s="1532"/>
      <c r="C28" s="1532"/>
      <c r="D28" s="1532"/>
      <c r="E28" s="1532"/>
      <c r="F28" s="1522">
        <v>869</v>
      </c>
      <c r="G28" s="1533">
        <v>4187870</v>
      </c>
      <c r="H28" s="1533">
        <f t="shared" ref="H28:H39" si="9">G28/F28</f>
        <v>4819.1829689298047</v>
      </c>
      <c r="I28" s="1534">
        <f>G28/G61</f>
        <v>0.1049754782655036</v>
      </c>
      <c r="J28" s="1522">
        <v>835</v>
      </c>
      <c r="K28" s="1533">
        <v>3992503</v>
      </c>
      <c r="L28" s="1533">
        <f t="shared" ref="L28:L39" si="10">K28/J28</f>
        <v>4781.4407185628743</v>
      </c>
      <c r="M28" s="1534">
        <f>K28/K61</f>
        <v>9.7949350618986686E-2</v>
      </c>
      <c r="N28" s="1522">
        <v>845</v>
      </c>
      <c r="O28" s="1533">
        <v>4045068</v>
      </c>
      <c r="P28" s="1533">
        <f t="shared" ref="P28:P39" si="11">O28/N28</f>
        <v>4787.0627218934915</v>
      </c>
      <c r="Q28" s="1534">
        <f>O28/O61</f>
        <v>0.10296263707800156</v>
      </c>
      <c r="R28" s="1522">
        <v>740</v>
      </c>
      <c r="S28" s="1533">
        <v>3558088</v>
      </c>
      <c r="T28" s="1533">
        <f t="shared" ref="T28:T39" si="12">S28/R28</f>
        <v>4808.2270270270274</v>
      </c>
      <c r="U28" s="1534">
        <f>S28/S61</f>
        <v>0.10134192126485717</v>
      </c>
      <c r="V28" s="1522">
        <v>576</v>
      </c>
      <c r="W28" s="1533">
        <v>2731593</v>
      </c>
      <c r="X28" s="1533">
        <f t="shared" ref="X28:X39" si="13">W28/V28</f>
        <v>4742.348958333333</v>
      </c>
      <c r="Y28" s="1534">
        <f>W28/W61</f>
        <v>0.11582640225421925</v>
      </c>
      <c r="Z28" s="1547">
        <v>590</v>
      </c>
      <c r="AA28" s="1535">
        <v>2811112</v>
      </c>
      <c r="AB28" s="1535">
        <f>AA28/Z28</f>
        <v>4764.5966101694912</v>
      </c>
      <c r="AC28" s="1535"/>
      <c r="AD28" s="1547">
        <v>642</v>
      </c>
      <c r="AE28" s="1535">
        <v>3040552.27</v>
      </c>
      <c r="AF28" s="1535">
        <f>AE28/AD28</f>
        <v>4736.0627258566974</v>
      </c>
      <c r="AG28" s="1535"/>
      <c r="AH28" s="1547">
        <v>652</v>
      </c>
      <c r="AI28" s="1535">
        <v>3080063</v>
      </c>
    </row>
    <row r="29" spans="1:35" s="1520" customFormat="1" x14ac:dyDescent="0.25">
      <c r="A29" s="1532" t="s">
        <v>1609</v>
      </c>
      <c r="B29" s="1532"/>
      <c r="C29" s="1532"/>
      <c r="D29" s="1532"/>
      <c r="E29" s="1532"/>
      <c r="F29" s="1522">
        <v>581</v>
      </c>
      <c r="G29" s="1533">
        <v>832407</v>
      </c>
      <c r="H29" s="1533">
        <f t="shared" si="9"/>
        <v>1432.7142857142858</v>
      </c>
      <c r="I29" s="1534">
        <f>G29/G61</f>
        <v>2.0865576757767807E-2</v>
      </c>
      <c r="J29" s="1522">
        <v>391</v>
      </c>
      <c r="K29" s="1533">
        <v>499398</v>
      </c>
      <c r="L29" s="1533">
        <f t="shared" si="10"/>
        <v>1277.23273657289</v>
      </c>
      <c r="M29" s="1534">
        <f>K29/K61</f>
        <v>1.2251890555979724E-2</v>
      </c>
      <c r="N29" s="1522">
        <v>515</v>
      </c>
      <c r="O29" s="1533">
        <v>751106</v>
      </c>
      <c r="P29" s="1533">
        <f t="shared" si="11"/>
        <v>1458.4582524271846</v>
      </c>
      <c r="Q29" s="1534">
        <f>O29/O61</f>
        <v>1.9118554863628852E-2</v>
      </c>
      <c r="R29" s="1522">
        <v>411</v>
      </c>
      <c r="S29" s="1533">
        <v>689307</v>
      </c>
      <c r="T29" s="1533">
        <f t="shared" si="12"/>
        <v>1677.1459854014599</v>
      </c>
      <c r="U29" s="1534">
        <f>S29/S61</f>
        <v>1.9632930866610072E-2</v>
      </c>
      <c r="V29" s="1522">
        <v>316</v>
      </c>
      <c r="W29" s="1533">
        <v>518008</v>
      </c>
      <c r="X29" s="1533">
        <f t="shared" si="13"/>
        <v>1639.2658227848101</v>
      </c>
      <c r="Y29" s="1534">
        <f>W29/W61</f>
        <v>2.1964839922676477E-2</v>
      </c>
      <c r="Z29" s="1547">
        <v>432</v>
      </c>
      <c r="AA29" s="1535">
        <v>524665</v>
      </c>
      <c r="AB29" s="1535">
        <f>AA29/Z29</f>
        <v>1214.5023148148148</v>
      </c>
      <c r="AC29" s="1535"/>
      <c r="AD29" s="1547">
        <v>478</v>
      </c>
      <c r="AE29" s="1535">
        <v>541106</v>
      </c>
      <c r="AF29" s="1535">
        <f>AE29/AD29</f>
        <v>1132.0209205020919</v>
      </c>
      <c r="AG29" s="1535"/>
      <c r="AH29" s="1547">
        <v>452</v>
      </c>
      <c r="AI29" s="1535">
        <v>486419</v>
      </c>
    </row>
    <row r="30" spans="1:35" s="1520" customFormat="1" x14ac:dyDescent="0.25">
      <c r="A30" s="1532" t="s">
        <v>1610</v>
      </c>
      <c r="B30" s="1532"/>
      <c r="C30" s="1532"/>
      <c r="D30" s="1532"/>
      <c r="E30" s="1532"/>
      <c r="F30" s="1522">
        <v>216</v>
      </c>
      <c r="G30" s="1533">
        <v>564200</v>
      </c>
      <c r="H30" s="1533">
        <f t="shared" si="9"/>
        <v>2612.037037037037</v>
      </c>
      <c r="I30" s="1534">
        <f>G30/G61</f>
        <v>1.4142550947712593E-2</v>
      </c>
      <c r="J30" s="1522">
        <v>251</v>
      </c>
      <c r="K30" s="1533">
        <v>650930</v>
      </c>
      <c r="L30" s="1533">
        <f t="shared" si="10"/>
        <v>2593.3466135458166</v>
      </c>
      <c r="M30" s="1534">
        <f>K30/K61</f>
        <v>1.5969473485284044E-2</v>
      </c>
      <c r="N30" s="1522">
        <v>259</v>
      </c>
      <c r="O30" s="1533">
        <v>670200</v>
      </c>
      <c r="P30" s="1533">
        <f t="shared" si="11"/>
        <v>2587.6447876447878</v>
      </c>
      <c r="Q30" s="1534">
        <f>O30/O61</f>
        <v>1.7059184016109653E-2</v>
      </c>
      <c r="R30" s="1522">
        <v>218</v>
      </c>
      <c r="S30" s="1533">
        <v>560700</v>
      </c>
      <c r="T30" s="1533">
        <f t="shared" si="12"/>
        <v>2572.0183486238534</v>
      </c>
      <c r="U30" s="1534">
        <f>S30/S61</f>
        <v>1.5969929707529834E-2</v>
      </c>
      <c r="V30" s="1522">
        <v>158</v>
      </c>
      <c r="W30" s="1533">
        <v>398300</v>
      </c>
      <c r="X30" s="1533">
        <f t="shared" si="13"/>
        <v>2520.8860759493673</v>
      </c>
      <c r="Y30" s="1534">
        <f>W30/W61</f>
        <v>1.6888920134828112E-2</v>
      </c>
      <c r="Z30" s="1547">
        <v>188</v>
      </c>
      <c r="AA30" s="1535">
        <v>458450</v>
      </c>
      <c r="AB30" s="1535">
        <f>AA30/Z30</f>
        <v>2438.5638297872342</v>
      </c>
      <c r="AC30" s="1535"/>
      <c r="AD30" s="1547">
        <v>193</v>
      </c>
      <c r="AE30" s="1535">
        <v>467725</v>
      </c>
      <c r="AF30" s="1535">
        <f>AE30/AD30</f>
        <v>2423.4455958549224</v>
      </c>
      <c r="AG30" s="1535"/>
      <c r="AH30" s="1547">
        <v>221</v>
      </c>
      <c r="AI30" s="1535">
        <v>539035</v>
      </c>
    </row>
    <row r="31" spans="1:35" s="1520" customFormat="1" x14ac:dyDescent="0.25">
      <c r="A31" s="1532" t="s">
        <v>1611</v>
      </c>
      <c r="B31" s="1532"/>
      <c r="C31" s="1532"/>
      <c r="D31" s="1532"/>
      <c r="E31" s="1532"/>
      <c r="F31" s="1522">
        <v>40</v>
      </c>
      <c r="G31" s="1533">
        <v>208087</v>
      </c>
      <c r="H31" s="1533">
        <f t="shared" si="9"/>
        <v>5202.1750000000002</v>
      </c>
      <c r="I31" s="1534">
        <f>G31/G61</f>
        <v>5.2160244577395785E-3</v>
      </c>
      <c r="J31" s="1522">
        <v>34</v>
      </c>
      <c r="K31" s="1533">
        <v>171421</v>
      </c>
      <c r="L31" s="1533">
        <f t="shared" si="10"/>
        <v>5041.7941176470586</v>
      </c>
      <c r="M31" s="1534">
        <f>K31/K61</f>
        <v>4.2055261154361851E-3</v>
      </c>
      <c r="N31" s="1522">
        <v>31</v>
      </c>
      <c r="O31" s="1533">
        <v>154811</v>
      </c>
      <c r="P31" s="1533">
        <f t="shared" si="11"/>
        <v>4993.9032258064517</v>
      </c>
      <c r="Q31" s="1534">
        <f>O31/O61</f>
        <v>3.940539147594675E-3</v>
      </c>
      <c r="R31" s="1522">
        <v>31</v>
      </c>
      <c r="S31" s="1533">
        <v>153344</v>
      </c>
      <c r="T31" s="1533">
        <f t="shared" si="12"/>
        <v>4946.5806451612907</v>
      </c>
      <c r="U31" s="1534">
        <f>S31/S61</f>
        <v>4.3675635831486627E-3</v>
      </c>
      <c r="V31" s="1522">
        <v>45</v>
      </c>
      <c r="W31" s="1533">
        <v>228075</v>
      </c>
      <c r="X31" s="1533">
        <f t="shared" si="13"/>
        <v>5068.333333333333</v>
      </c>
      <c r="Y31" s="1534">
        <f>W31/W61</f>
        <v>9.6709526983452723E-3</v>
      </c>
      <c r="Z31" s="1547">
        <v>52</v>
      </c>
      <c r="AA31" s="1535">
        <v>288269</v>
      </c>
      <c r="AB31" s="1535">
        <f>AA31/Z31</f>
        <v>5543.6346153846152</v>
      </c>
      <c r="AC31" s="1535"/>
      <c r="AD31" s="1547">
        <v>62</v>
      </c>
      <c r="AE31" s="1535">
        <v>325045</v>
      </c>
      <c r="AF31" s="1535">
        <f>AE31/AD31</f>
        <v>5242.6612903225805</v>
      </c>
      <c r="AG31" s="1535"/>
      <c r="AH31" s="1547">
        <v>77</v>
      </c>
      <c r="AI31" s="1535">
        <v>392742</v>
      </c>
    </row>
    <row r="32" spans="1:35" s="1520" customFormat="1" x14ac:dyDescent="0.25">
      <c r="A32" s="1532" t="s">
        <v>1612</v>
      </c>
      <c r="B32" s="1532"/>
      <c r="C32" s="1532"/>
      <c r="D32" s="1532"/>
      <c r="E32" s="1532"/>
      <c r="F32" s="1522">
        <v>47</v>
      </c>
      <c r="G32" s="1533">
        <v>340750</v>
      </c>
      <c r="H32" s="1533">
        <f t="shared" si="9"/>
        <v>7250</v>
      </c>
      <c r="I32" s="1534">
        <f>G32/G61</f>
        <v>8.5414289887151117E-3</v>
      </c>
      <c r="J32" s="1522">
        <v>48</v>
      </c>
      <c r="K32" s="1533">
        <v>347200</v>
      </c>
      <c r="L32" s="1533">
        <f t="shared" si="10"/>
        <v>7233.333333333333</v>
      </c>
      <c r="M32" s="1534">
        <f>K32/K61</f>
        <v>8.5179684360693463E-3</v>
      </c>
      <c r="N32" s="1522">
        <v>48</v>
      </c>
      <c r="O32" s="1533">
        <v>330160</v>
      </c>
      <c r="P32" s="1533">
        <f t="shared" si="11"/>
        <v>6878.333333333333</v>
      </c>
      <c r="Q32" s="1534">
        <f>O32/O61</f>
        <v>8.4038498877331592E-3</v>
      </c>
      <c r="R32" s="1522">
        <v>42</v>
      </c>
      <c r="S32" s="1533">
        <v>291665</v>
      </c>
      <c r="T32" s="1533">
        <f t="shared" si="12"/>
        <v>6944.4047619047615</v>
      </c>
      <c r="U32" s="1534">
        <f>S32/S61</f>
        <v>8.3072401429404117E-3</v>
      </c>
      <c r="V32" s="1522">
        <v>33</v>
      </c>
      <c r="W32" s="1533">
        <v>226765</v>
      </c>
      <c r="X32" s="1533">
        <f t="shared" si="13"/>
        <v>6871.666666666667</v>
      </c>
      <c r="Y32" s="1534">
        <f>W32/W61</f>
        <v>9.615405408923668E-3</v>
      </c>
      <c r="Z32" s="1547">
        <v>24</v>
      </c>
      <c r="AA32" s="1535">
        <v>160400</v>
      </c>
      <c r="AB32" s="1535">
        <f>AA32/Z32</f>
        <v>6683.333333333333</v>
      </c>
      <c r="AC32" s="1535"/>
      <c r="AD32" s="1547">
        <v>27</v>
      </c>
      <c r="AE32" s="1535">
        <v>178939.99</v>
      </c>
      <c r="AF32" s="1535">
        <f>AE32/AD32</f>
        <v>6627.4070370370364</v>
      </c>
      <c r="AG32" s="1535"/>
      <c r="AH32" s="1547">
        <v>24</v>
      </c>
      <c r="AI32" s="1535">
        <v>158602</v>
      </c>
    </row>
    <row r="33" spans="1:264" s="1520" customFormat="1" x14ac:dyDescent="0.25">
      <c r="A33" s="1532" t="s">
        <v>1613</v>
      </c>
      <c r="B33" s="1532"/>
      <c r="C33" s="1532"/>
      <c r="D33" s="1532"/>
      <c r="E33" s="1532"/>
      <c r="F33" s="1522">
        <v>106</v>
      </c>
      <c r="G33" s="1533">
        <v>264687</v>
      </c>
      <c r="H33" s="1533">
        <f t="shared" si="9"/>
        <v>2497.0471698113206</v>
      </c>
      <c r="I33" s="1534">
        <f>G33/G61</f>
        <v>6.634791532607591E-3</v>
      </c>
      <c r="J33" s="1522">
        <v>109</v>
      </c>
      <c r="K33" s="1533">
        <v>268750</v>
      </c>
      <c r="L33" s="1533">
        <f t="shared" si="10"/>
        <v>2465.5963302752293</v>
      </c>
      <c r="M33" s="1534">
        <f>K33/K61</f>
        <v>6.593329542608402E-3</v>
      </c>
      <c r="N33" s="1522">
        <v>95</v>
      </c>
      <c r="O33" s="1533">
        <v>229856</v>
      </c>
      <c r="P33" s="1533">
        <f t="shared" si="11"/>
        <v>2419.5368421052631</v>
      </c>
      <c r="Q33" s="1534">
        <f>O33/O61</f>
        <v>5.8507248600520746E-3</v>
      </c>
      <c r="R33" s="1522">
        <v>101</v>
      </c>
      <c r="S33" s="1533">
        <v>242981</v>
      </c>
      <c r="T33" s="1533">
        <f t="shared" si="12"/>
        <v>2405.7524752475247</v>
      </c>
      <c r="U33" s="1534">
        <f>S33/S61</f>
        <v>6.920616176681482E-3</v>
      </c>
      <c r="V33" s="1522">
        <v>87</v>
      </c>
      <c r="W33" s="1533">
        <v>211237</v>
      </c>
      <c r="X33" s="1533">
        <f t="shared" si="13"/>
        <v>2428.0114942528735</v>
      </c>
      <c r="Y33" s="1534">
        <f>W33/W61</f>
        <v>8.956979217978122E-3</v>
      </c>
      <c r="Z33" s="1547" t="s">
        <v>1045</v>
      </c>
      <c r="AA33" s="1535"/>
      <c r="AB33" s="1535"/>
      <c r="AC33" s="1535"/>
      <c r="AD33" s="1547"/>
      <c r="AE33" s="1535"/>
      <c r="AF33" s="1535"/>
      <c r="AG33" s="1535"/>
      <c r="AH33" s="1547"/>
      <c r="AI33" s="1535"/>
    </row>
    <row r="34" spans="1:264" s="1520" customFormat="1" x14ac:dyDescent="0.25">
      <c r="A34" s="1532" t="s">
        <v>1614</v>
      </c>
      <c r="B34" s="1532"/>
      <c r="C34" s="1532"/>
      <c r="D34" s="1532"/>
      <c r="E34" s="1532"/>
      <c r="F34" s="1522">
        <v>45</v>
      </c>
      <c r="G34" s="1533">
        <v>170449</v>
      </c>
      <c r="H34" s="1533">
        <f t="shared" si="9"/>
        <v>3787.7555555555555</v>
      </c>
      <c r="I34" s="1534">
        <f>G34/G61</f>
        <v>4.2725694195084431E-3</v>
      </c>
      <c r="J34" s="1522">
        <v>44</v>
      </c>
      <c r="K34" s="1533">
        <v>182667</v>
      </c>
      <c r="L34" s="1533">
        <f t="shared" si="10"/>
        <v>4151.522727272727</v>
      </c>
      <c r="M34" s="1534">
        <f>K34/K61</f>
        <v>4.481427823477763E-3</v>
      </c>
      <c r="N34" s="1522">
        <v>47</v>
      </c>
      <c r="O34" s="1533">
        <v>187769</v>
      </c>
      <c r="P34" s="1533">
        <f t="shared" si="11"/>
        <v>3995.0851063829787</v>
      </c>
      <c r="Q34" s="1534">
        <f>O34/O61</f>
        <v>4.7794478118783849E-3</v>
      </c>
      <c r="R34" s="1522">
        <v>55</v>
      </c>
      <c r="S34" s="1533">
        <v>213774</v>
      </c>
      <c r="T34" s="1533">
        <f t="shared" si="12"/>
        <v>3886.8</v>
      </c>
      <c r="U34" s="1534">
        <f>S34/S61</f>
        <v>6.0887386361645852E-3</v>
      </c>
      <c r="V34" s="1522">
        <v>55</v>
      </c>
      <c r="W34" s="1533">
        <v>204079</v>
      </c>
      <c r="X34" s="1533">
        <f t="shared" si="13"/>
        <v>3710.5272727272727</v>
      </c>
      <c r="Y34" s="1534">
        <f>W34/W61</f>
        <v>8.6534620441767168E-3</v>
      </c>
      <c r="Z34" s="1547">
        <v>42</v>
      </c>
      <c r="AA34" s="1535">
        <v>180522</v>
      </c>
      <c r="AB34" s="1535">
        <f>AA34/Z34</f>
        <v>4298.1428571428569</v>
      </c>
      <c r="AC34" s="1535"/>
      <c r="AD34" s="1547">
        <v>42</v>
      </c>
      <c r="AE34" s="1535">
        <v>171353</v>
      </c>
      <c r="AF34" s="1535">
        <f>AE34/AD34</f>
        <v>4079.8333333333335</v>
      </c>
      <c r="AG34" s="1535"/>
      <c r="AH34" s="1547">
        <v>47</v>
      </c>
      <c r="AI34" s="1535">
        <v>197365</v>
      </c>
    </row>
    <row r="35" spans="1:264" s="1520" customFormat="1" x14ac:dyDescent="0.25">
      <c r="A35" s="1532" t="s">
        <v>1615</v>
      </c>
      <c r="B35" s="1532"/>
      <c r="C35" s="1532"/>
      <c r="D35" s="1532"/>
      <c r="E35" s="1532"/>
      <c r="F35" s="1528">
        <v>26</v>
      </c>
      <c r="G35" s="1533">
        <v>79268</v>
      </c>
      <c r="H35" s="1533">
        <f t="shared" si="9"/>
        <v>3048.7692307692309</v>
      </c>
      <c r="I35" s="1534">
        <f>G35/G61</f>
        <v>1.9869757683858239E-3</v>
      </c>
      <c r="J35" s="1528">
        <v>23</v>
      </c>
      <c r="K35" s="1533">
        <v>91693</v>
      </c>
      <c r="L35" s="1533">
        <f t="shared" si="10"/>
        <v>3986.6521739130435</v>
      </c>
      <c r="M35" s="1534">
        <f>K35/K61</f>
        <v>2.2495336400014591E-3</v>
      </c>
      <c r="N35" s="1528">
        <v>23</v>
      </c>
      <c r="O35" s="1533">
        <v>83220</v>
      </c>
      <c r="P35" s="1533">
        <f t="shared" si="11"/>
        <v>3618.2608695652175</v>
      </c>
      <c r="Q35" s="1534">
        <f>O35/O61</f>
        <v>2.1182711038804018E-3</v>
      </c>
      <c r="R35" s="1528">
        <v>23</v>
      </c>
      <c r="S35" s="1533">
        <v>71506</v>
      </c>
      <c r="T35" s="1533">
        <f t="shared" si="12"/>
        <v>3108.9565217391305</v>
      </c>
      <c r="U35" s="1534">
        <f>S35/S61</f>
        <v>2.0366431133701235E-3</v>
      </c>
      <c r="V35" s="1522">
        <v>17</v>
      </c>
      <c r="W35" s="1533">
        <v>48344</v>
      </c>
      <c r="X35" s="1533">
        <f t="shared" si="13"/>
        <v>2843.7647058823532</v>
      </c>
      <c r="Y35" s="1534">
        <f>W35/W61</f>
        <v>2.0499069922122275E-3</v>
      </c>
      <c r="Z35" s="1522">
        <v>19</v>
      </c>
      <c r="AA35" s="1535">
        <v>58443</v>
      </c>
      <c r="AB35" s="1535">
        <f>AA35/Z35</f>
        <v>3075.9473684210525</v>
      </c>
      <c r="AC35" s="1535"/>
      <c r="AD35" s="1522">
        <v>16</v>
      </c>
      <c r="AE35" s="1535">
        <v>48657.82</v>
      </c>
      <c r="AF35" s="1535">
        <f>AE35/AD35</f>
        <v>3041.11375</v>
      </c>
      <c r="AG35" s="1535"/>
      <c r="AH35" s="1522">
        <v>12</v>
      </c>
      <c r="AI35" s="1535">
        <v>23835</v>
      </c>
    </row>
    <row r="36" spans="1:264" s="1520" customFormat="1" x14ac:dyDescent="0.25">
      <c r="A36" s="1532" t="s">
        <v>1616</v>
      </c>
      <c r="B36" s="1532"/>
      <c r="C36" s="1532"/>
      <c r="D36" s="1532"/>
      <c r="E36" s="1532"/>
      <c r="F36" s="1522">
        <v>22</v>
      </c>
      <c r="G36" s="1533">
        <v>54300</v>
      </c>
      <c r="H36" s="1533">
        <f t="shared" si="9"/>
        <v>2468.181818181818</v>
      </c>
      <c r="I36" s="1534">
        <f>G36/G61</f>
        <v>1.3611139958539416E-3</v>
      </c>
      <c r="J36" s="1522">
        <v>22</v>
      </c>
      <c r="K36" s="1533">
        <v>54150</v>
      </c>
      <c r="L36" s="1533">
        <f t="shared" si="10"/>
        <v>2461.3636363636365</v>
      </c>
      <c r="M36" s="1534">
        <f>K36/K61</f>
        <v>1.3284792362130045E-3</v>
      </c>
      <c r="N36" s="1522">
        <v>15</v>
      </c>
      <c r="O36" s="1533">
        <v>33608</v>
      </c>
      <c r="P36" s="1533">
        <f t="shared" si="11"/>
        <v>2240.5333333333333</v>
      </c>
      <c r="Q36" s="1534">
        <f>O36/O61</f>
        <v>8.5545368011550758E-4</v>
      </c>
      <c r="R36" s="1522">
        <v>12</v>
      </c>
      <c r="S36" s="1533">
        <v>28450</v>
      </c>
      <c r="T36" s="1533">
        <f t="shared" si="12"/>
        <v>2370.8333333333335</v>
      </c>
      <c r="U36" s="1534">
        <f>S36/S61</f>
        <v>8.1031656889463848E-4</v>
      </c>
      <c r="V36" s="1522">
        <v>10</v>
      </c>
      <c r="W36" s="1533">
        <v>23967</v>
      </c>
      <c r="X36" s="1533">
        <f t="shared" si="13"/>
        <v>2396.6999999999998</v>
      </c>
      <c r="Y36" s="1534">
        <f>W36/W61</f>
        <v>1.016260981349298E-3</v>
      </c>
      <c r="Z36" s="1547" t="s">
        <v>1045</v>
      </c>
      <c r="AA36" s="1535"/>
      <c r="AB36" s="1535"/>
      <c r="AC36" s="1535"/>
      <c r="AD36" s="1547"/>
      <c r="AE36" s="1535"/>
      <c r="AF36" s="1535"/>
      <c r="AG36" s="1535"/>
      <c r="AH36" s="1547"/>
      <c r="AI36" s="1535"/>
    </row>
    <row r="37" spans="1:264" s="1520" customFormat="1" x14ac:dyDescent="0.25">
      <c r="A37" s="1532" t="s">
        <v>1617</v>
      </c>
      <c r="B37" s="1532"/>
      <c r="C37" s="1532"/>
      <c r="D37" s="1532"/>
      <c r="E37" s="1532"/>
      <c r="F37" s="1522">
        <v>16</v>
      </c>
      <c r="G37" s="1533">
        <v>36000</v>
      </c>
      <c r="H37" s="1533">
        <f t="shared" si="9"/>
        <v>2250</v>
      </c>
      <c r="I37" s="1534">
        <f>G37/G61</f>
        <v>9.0239601935067945E-4</v>
      </c>
      <c r="J37" s="1522">
        <v>19</v>
      </c>
      <c r="K37" s="1533">
        <v>77846</v>
      </c>
      <c r="L37" s="1533">
        <f t="shared" si="10"/>
        <v>4097.1578947368425</v>
      </c>
      <c r="M37" s="1534">
        <f>K37/K61</f>
        <v>1.909820768647046E-3</v>
      </c>
      <c r="N37" s="1522">
        <v>15</v>
      </c>
      <c r="O37" s="1533">
        <v>58595</v>
      </c>
      <c r="P37" s="1533">
        <f t="shared" si="11"/>
        <v>3906.3333333333335</v>
      </c>
      <c r="Q37" s="1534">
        <f>O37/O61</f>
        <v>1.4914695425603478E-3</v>
      </c>
      <c r="R37" s="1522">
        <v>17</v>
      </c>
      <c r="S37" s="1533">
        <v>65200</v>
      </c>
      <c r="T37" s="1533">
        <f t="shared" si="12"/>
        <v>3835.294117647059</v>
      </c>
      <c r="U37" s="1534">
        <f>S37/S61</f>
        <v>1.8570348081522118E-3</v>
      </c>
      <c r="V37" s="1522">
        <v>11</v>
      </c>
      <c r="W37" s="1533">
        <v>23337</v>
      </c>
      <c r="X37" s="1533">
        <f t="shared" si="13"/>
        <v>2121.5454545454545</v>
      </c>
      <c r="Y37" s="1534">
        <f>W37/W61</f>
        <v>9.895473994137175E-4</v>
      </c>
      <c r="Z37" s="1547"/>
      <c r="AA37" s="1535"/>
      <c r="AB37" s="1535"/>
      <c r="AC37" s="1535"/>
      <c r="AD37" s="1547"/>
      <c r="AE37" s="1535"/>
      <c r="AF37" s="1535"/>
      <c r="AG37" s="1535"/>
      <c r="AH37" s="1547"/>
      <c r="AI37" s="1535"/>
    </row>
    <row r="38" spans="1:264" s="1520" customFormat="1" x14ac:dyDescent="0.25">
      <c r="A38" s="1532" t="s">
        <v>1618</v>
      </c>
      <c r="B38" s="1532"/>
      <c r="C38" s="1532"/>
      <c r="D38" s="1532"/>
      <c r="E38" s="1532"/>
      <c r="F38" s="1522">
        <v>2</v>
      </c>
      <c r="G38" s="1533">
        <v>2000</v>
      </c>
      <c r="H38" s="1533">
        <f t="shared" si="9"/>
        <v>1000</v>
      </c>
      <c r="I38" s="1534">
        <f>G38/G61</f>
        <v>5.0133112186148855E-5</v>
      </c>
      <c r="J38" s="1522">
        <v>4</v>
      </c>
      <c r="K38" s="1533">
        <v>4000</v>
      </c>
      <c r="L38" s="1533">
        <f t="shared" si="10"/>
        <v>1000</v>
      </c>
      <c r="M38" s="1534">
        <f>K38/K61</f>
        <v>9.8133276913241324E-5</v>
      </c>
      <c r="N38" s="1522">
        <v>7</v>
      </c>
      <c r="O38" s="1533">
        <v>7000</v>
      </c>
      <c r="P38" s="1533">
        <f t="shared" si="11"/>
        <v>1000</v>
      </c>
      <c r="Q38" s="1534">
        <f>O38/O61</f>
        <v>1.7817709357321332E-4</v>
      </c>
      <c r="R38" s="1522">
        <v>11</v>
      </c>
      <c r="S38" s="1533">
        <v>10000</v>
      </c>
      <c r="T38" s="1533">
        <f t="shared" si="12"/>
        <v>909.09090909090912</v>
      </c>
      <c r="U38" s="1534">
        <f>S38/S61</f>
        <v>2.8482128959389752E-4</v>
      </c>
      <c r="V38" s="1522">
        <v>3</v>
      </c>
      <c r="W38" s="1533">
        <v>5857</v>
      </c>
      <c r="X38" s="1533">
        <f t="shared" si="13"/>
        <v>1952.3333333333333</v>
      </c>
      <c r="Y38" s="1534">
        <f>W38/W61</f>
        <v>2.4835150697888087E-4</v>
      </c>
      <c r="Z38" s="1548" t="s">
        <v>1045</v>
      </c>
      <c r="AA38" s="1535"/>
      <c r="AB38" s="1535"/>
      <c r="AC38" s="1535"/>
      <c r="AD38" s="1547"/>
      <c r="AE38" s="1535"/>
      <c r="AF38" s="1535"/>
      <c r="AG38" s="1535"/>
      <c r="AH38" s="1547"/>
      <c r="AI38" s="1535"/>
    </row>
    <row r="39" spans="1:264" s="1520" customFormat="1" x14ac:dyDescent="0.25">
      <c r="A39" s="1537" t="s">
        <v>1499</v>
      </c>
      <c r="B39" s="1537"/>
      <c r="C39" s="1537"/>
      <c r="D39" s="1537"/>
      <c r="E39" s="1537"/>
      <c r="F39" s="1538">
        <f>SUM(F28:F38)</f>
        <v>1970</v>
      </c>
      <c r="G39" s="1549">
        <f>SUM(G28:G38)</f>
        <v>6740018</v>
      </c>
      <c r="H39" s="1533">
        <f t="shared" si="9"/>
        <v>3421.3289340101524</v>
      </c>
      <c r="I39" s="1534">
        <f>G39/G61</f>
        <v>0.16894903926533134</v>
      </c>
      <c r="J39" s="1538">
        <f>SUM(J28:J38)</f>
        <v>1780</v>
      </c>
      <c r="K39" s="1549">
        <f>SUM(K28:K38)</f>
        <v>6340558</v>
      </c>
      <c r="L39" s="1533">
        <f t="shared" si="10"/>
        <v>3562.1112359550561</v>
      </c>
      <c r="M39" s="1534">
        <f>K39/K61</f>
        <v>0.15555493349961691</v>
      </c>
      <c r="N39" s="1538">
        <f>SUM(N28:N38)</f>
        <v>1900</v>
      </c>
      <c r="O39" s="1539">
        <f>SUM(O28:O38)</f>
        <v>6551393</v>
      </c>
      <c r="P39" s="1533">
        <f t="shared" si="11"/>
        <v>3448.1015789473686</v>
      </c>
      <c r="Q39" s="1534">
        <f>O39/O61</f>
        <v>0.16675830908512781</v>
      </c>
      <c r="R39" s="1538">
        <f>SUM(R28:R38)</f>
        <v>1661</v>
      </c>
      <c r="S39" s="1539">
        <f>SUM(S28:S38)</f>
        <v>5885015</v>
      </c>
      <c r="T39" s="1533">
        <f t="shared" si="12"/>
        <v>3543.0553883202888</v>
      </c>
      <c r="U39" s="1534">
        <f>S39/S61</f>
        <v>0.16761775615794308</v>
      </c>
      <c r="V39" s="1538">
        <f>SUM(V28:V38)</f>
        <v>1311</v>
      </c>
      <c r="W39" s="1539">
        <f>SUM(W28:W38)</f>
        <v>4619562</v>
      </c>
      <c r="X39" s="1533">
        <f t="shared" si="13"/>
        <v>3523.6933638443934</v>
      </c>
      <c r="Y39" s="1534">
        <f>W39/W61</f>
        <v>0.19588102856110173</v>
      </c>
      <c r="Z39" s="1538">
        <f t="shared" ref="Z39:AI39" si="14">SUM(Z28:Z38)</f>
        <v>1347</v>
      </c>
      <c r="AA39" s="1539">
        <f t="shared" si="14"/>
        <v>4481861</v>
      </c>
      <c r="AB39" s="1535">
        <f>AA39/Z39</f>
        <v>3327.2910170749815</v>
      </c>
      <c r="AC39" s="1539"/>
      <c r="AD39" s="1538">
        <f t="shared" si="14"/>
        <v>1460</v>
      </c>
      <c r="AE39" s="1539">
        <f t="shared" si="14"/>
        <v>4773379.08</v>
      </c>
      <c r="AF39" s="1535">
        <f>AE39/AD39</f>
        <v>3269.4377260273973</v>
      </c>
      <c r="AG39" s="1539"/>
      <c r="AH39" s="1538">
        <f t="shared" si="14"/>
        <v>1485</v>
      </c>
      <c r="AI39" s="1539">
        <f t="shared" si="14"/>
        <v>4878061</v>
      </c>
    </row>
    <row r="40" spans="1:264" s="1520" customFormat="1" ht="8.25" customHeight="1" x14ac:dyDescent="0.25">
      <c r="A40" s="1541"/>
      <c r="B40" s="1541"/>
      <c r="C40" s="1541"/>
      <c r="D40" s="1541"/>
      <c r="E40" s="1541"/>
      <c r="F40" s="1542"/>
      <c r="G40" s="1543"/>
      <c r="H40" s="1533"/>
      <c r="I40" s="1534"/>
      <c r="J40" s="1542"/>
      <c r="K40" s="1543"/>
      <c r="L40" s="1533"/>
      <c r="M40" s="1534"/>
      <c r="N40" s="1542"/>
      <c r="O40" s="1543"/>
      <c r="P40" s="1533"/>
      <c r="Q40" s="1534"/>
      <c r="R40" s="1542"/>
      <c r="S40" s="1543"/>
      <c r="T40" s="1533"/>
      <c r="U40" s="1534"/>
      <c r="V40" s="1542"/>
      <c r="W40" s="1543"/>
      <c r="X40" s="1533"/>
      <c r="Y40" s="1534"/>
      <c r="Z40" s="1542"/>
      <c r="AA40" s="1545"/>
      <c r="AB40" s="1535"/>
      <c r="AC40" s="1545"/>
      <c r="AD40" s="1542"/>
      <c r="AE40" s="1545"/>
      <c r="AF40" s="1535"/>
      <c r="AG40" s="1545"/>
      <c r="AH40" s="1542"/>
      <c r="AI40" s="1545"/>
    </row>
    <row r="41" spans="1:264" s="1520" customFormat="1" x14ac:dyDescent="0.25">
      <c r="A41" s="1521" t="s">
        <v>542</v>
      </c>
      <c r="B41" s="1689"/>
      <c r="C41" s="1689"/>
      <c r="D41" s="1689"/>
      <c r="E41" s="1689"/>
      <c r="F41" s="1809" t="s">
        <v>1503</v>
      </c>
      <c r="G41" s="1810"/>
      <c r="H41" s="1810"/>
      <c r="I41" s="1811"/>
      <c r="J41" s="1812" t="s">
        <v>1377</v>
      </c>
      <c r="K41" s="1813"/>
      <c r="L41" s="1813"/>
      <c r="M41" s="1814"/>
      <c r="N41" s="1812" t="s">
        <v>1389</v>
      </c>
      <c r="O41" s="1813"/>
      <c r="P41" s="1813"/>
      <c r="Q41" s="1814"/>
      <c r="R41" s="1812" t="s">
        <v>1388</v>
      </c>
      <c r="S41" s="1813"/>
      <c r="T41" s="1813"/>
      <c r="U41" s="1814"/>
      <c r="V41" s="1815" t="s">
        <v>583</v>
      </c>
      <c r="W41" s="1816"/>
      <c r="X41" s="1533"/>
      <c r="Y41" s="1534"/>
      <c r="Z41" s="1815" t="s">
        <v>363</v>
      </c>
      <c r="AA41" s="1816"/>
      <c r="AB41" s="1535"/>
      <c r="AC41" s="1522"/>
      <c r="AD41" s="1524" t="s">
        <v>1261</v>
      </c>
      <c r="AE41" s="1525"/>
      <c r="AF41" s="1535"/>
      <c r="AG41" s="1522"/>
      <c r="AH41" s="1524" t="s">
        <v>274</v>
      </c>
      <c r="AI41" s="1525"/>
    </row>
    <row r="42" spans="1:264" s="1520" customFormat="1" x14ac:dyDescent="0.25">
      <c r="A42" s="1526"/>
      <c r="B42" s="1526"/>
      <c r="C42" s="1526"/>
      <c r="D42" s="1526"/>
      <c r="E42" s="1526"/>
      <c r="F42" s="1527" t="s">
        <v>586</v>
      </c>
      <c r="G42" s="1527" t="s">
        <v>587</v>
      </c>
      <c r="H42" s="1528" t="s">
        <v>1596</v>
      </c>
      <c r="I42" s="1529" t="s">
        <v>1366</v>
      </c>
      <c r="J42" s="1527" t="s">
        <v>586</v>
      </c>
      <c r="K42" s="1527" t="s">
        <v>587</v>
      </c>
      <c r="L42" s="1528" t="s">
        <v>1596</v>
      </c>
      <c r="M42" s="1529" t="s">
        <v>1366</v>
      </c>
      <c r="N42" s="1527" t="s">
        <v>586</v>
      </c>
      <c r="O42" s="1527" t="s">
        <v>587</v>
      </c>
      <c r="P42" s="1528" t="s">
        <v>1596</v>
      </c>
      <c r="Q42" s="1529" t="s">
        <v>1366</v>
      </c>
      <c r="R42" s="1527" t="s">
        <v>586</v>
      </c>
      <c r="S42" s="1527" t="s">
        <v>587</v>
      </c>
      <c r="T42" s="1528" t="s">
        <v>1596</v>
      </c>
      <c r="U42" s="1529" t="s">
        <v>1366</v>
      </c>
      <c r="V42" s="1530"/>
      <c r="W42" s="1531"/>
      <c r="X42" s="1533"/>
      <c r="Y42" s="1534"/>
      <c r="Z42" s="1530"/>
      <c r="AA42" s="1531"/>
      <c r="AB42" s="1535"/>
      <c r="AC42" s="1522"/>
      <c r="AD42" s="1524"/>
      <c r="AE42" s="1525"/>
      <c r="AF42" s="1535"/>
      <c r="AG42" s="1522"/>
      <c r="AH42" s="1524"/>
      <c r="AI42" s="1525"/>
    </row>
    <row r="43" spans="1:264" s="1520" customFormat="1" x14ac:dyDescent="0.25">
      <c r="A43" s="1532" t="s">
        <v>1619</v>
      </c>
      <c r="B43" s="1532"/>
      <c r="C43" s="1532"/>
      <c r="D43" s="1532"/>
      <c r="E43" s="1532"/>
      <c r="F43" s="1522">
        <v>558</v>
      </c>
      <c r="G43" s="1533">
        <v>1711280</v>
      </c>
      <c r="H43" s="1533">
        <f>G43/F43</f>
        <v>3066.8100358422939</v>
      </c>
      <c r="I43" s="1534">
        <f>G43/G61</f>
        <v>4.2895896110956407E-2</v>
      </c>
      <c r="J43" s="1522">
        <v>554</v>
      </c>
      <c r="K43" s="1533">
        <v>1669782</v>
      </c>
      <c r="L43" s="1533">
        <f>K43/J43</f>
        <v>3014.0469314079423</v>
      </c>
      <c r="M43" s="1534">
        <f>K43/K61</f>
        <v>4.0965294847686483E-2</v>
      </c>
      <c r="N43" s="1522">
        <v>573</v>
      </c>
      <c r="O43" s="1533">
        <v>1622368</v>
      </c>
      <c r="P43" s="1533">
        <f>O43/N43</f>
        <v>2831.3577661431063</v>
      </c>
      <c r="Q43" s="1534">
        <f>O43/O61</f>
        <v>4.1295544992312423E-2</v>
      </c>
      <c r="R43" s="1522">
        <v>489</v>
      </c>
      <c r="S43" s="1533">
        <v>1255499</v>
      </c>
      <c r="T43" s="1533">
        <f>S43/R43</f>
        <v>2567.4826175869121</v>
      </c>
      <c r="U43" s="1534">
        <f>S43/S61</f>
        <v>3.5759284426384874E-2</v>
      </c>
      <c r="V43" s="1522">
        <v>245</v>
      </c>
      <c r="W43" s="1533">
        <v>654268</v>
      </c>
      <c r="X43" s="1533">
        <f>W43/V43</f>
        <v>2670.4816326530613</v>
      </c>
      <c r="Y43" s="1534">
        <f>W43/W61</f>
        <v>2.7742606072743457E-2</v>
      </c>
      <c r="Z43" s="1528">
        <v>169</v>
      </c>
      <c r="AA43" s="1536">
        <v>478934</v>
      </c>
      <c r="AB43" s="1535">
        <f>AA43/Z43</f>
        <v>2833.9289940828403</v>
      </c>
      <c r="AC43" s="1536"/>
      <c r="AD43" s="1528">
        <v>203</v>
      </c>
      <c r="AE43" s="1536">
        <v>525999</v>
      </c>
      <c r="AF43" s="1535">
        <f>AE43/AD43</f>
        <v>2591.1280788177341</v>
      </c>
      <c r="AG43" s="1536"/>
      <c r="AH43" s="1528">
        <v>109</v>
      </c>
      <c r="AI43" s="1536">
        <v>300093</v>
      </c>
    </row>
    <row r="44" spans="1:264" s="1520" customFormat="1" x14ac:dyDescent="0.25">
      <c r="A44" s="1532" t="s">
        <v>1620</v>
      </c>
      <c r="B44" s="1532"/>
      <c r="C44" s="1532"/>
      <c r="D44" s="1532"/>
      <c r="E44" s="1532"/>
      <c r="F44" s="1522">
        <v>90</v>
      </c>
      <c r="G44" s="1533">
        <v>698568</v>
      </c>
      <c r="H44" s="1533">
        <f>G44/F44</f>
        <v>7761.8666666666668</v>
      </c>
      <c r="I44" s="1534">
        <f>G44/G61</f>
        <v>1.7510693956826816E-2</v>
      </c>
      <c r="J44" s="1522">
        <v>86</v>
      </c>
      <c r="K44" s="1533">
        <v>676701</v>
      </c>
      <c r="L44" s="1533">
        <f>K44/J44</f>
        <v>7868.6162790697672</v>
      </c>
      <c r="M44" s="1534">
        <f>K44/K61</f>
        <v>1.6601721655116829E-2</v>
      </c>
      <c r="N44" s="1522">
        <v>79</v>
      </c>
      <c r="O44" s="1533">
        <v>628660</v>
      </c>
      <c r="P44" s="1533">
        <f>O44/N44</f>
        <v>7957.7215189873414</v>
      </c>
      <c r="Q44" s="1534">
        <f>O44/O61</f>
        <v>1.6001830235105183E-2</v>
      </c>
      <c r="R44" s="1522">
        <v>77</v>
      </c>
      <c r="S44" s="1533">
        <v>571740</v>
      </c>
      <c r="T44" s="1533">
        <f>S44/R44</f>
        <v>7425.1948051948048</v>
      </c>
      <c r="U44" s="1534">
        <f>S44/S61</f>
        <v>1.6284372411241498E-2</v>
      </c>
      <c r="V44" s="1522">
        <v>78</v>
      </c>
      <c r="W44" s="1533">
        <v>518035</v>
      </c>
      <c r="X44" s="1533">
        <f>W44/V44</f>
        <v>6641.4743589743593</v>
      </c>
      <c r="Y44" s="1534">
        <f>W44/W61</f>
        <v>2.1965984790473715E-2</v>
      </c>
      <c r="Z44" s="1528">
        <v>78</v>
      </c>
      <c r="AA44" s="1536">
        <v>475314</v>
      </c>
      <c r="AB44" s="1535">
        <f>AA44/Z44</f>
        <v>6093.7692307692305</v>
      </c>
      <c r="AC44" s="1536"/>
      <c r="AD44" s="1528"/>
      <c r="AE44" s="1536"/>
      <c r="AF44" s="1522" t="s">
        <v>1045</v>
      </c>
      <c r="AG44" s="1536"/>
      <c r="AH44" s="1528"/>
      <c r="AI44" s="1536"/>
    </row>
    <row r="45" spans="1:264" s="1520" customFormat="1" x14ac:dyDescent="0.25">
      <c r="A45" s="1532" t="s">
        <v>1621</v>
      </c>
      <c r="B45" s="1532"/>
      <c r="C45" s="1532"/>
      <c r="D45" s="1532"/>
      <c r="E45" s="1532"/>
      <c r="F45" s="1522">
        <v>141</v>
      </c>
      <c r="G45" s="1533">
        <v>1112643</v>
      </c>
      <c r="H45" s="1533">
        <f>G45/F45</f>
        <v>7891.0851063829787</v>
      </c>
      <c r="I45" s="1534">
        <f>G45/G61</f>
        <v>2.7890128171066612E-2</v>
      </c>
      <c r="J45" s="1522">
        <v>124</v>
      </c>
      <c r="K45" s="1533">
        <v>979607</v>
      </c>
      <c r="L45" s="1533">
        <f>K45/J45</f>
        <v>7900.0564516129034</v>
      </c>
      <c r="M45" s="1534">
        <f>K45/K61</f>
        <v>2.40330112492874E-2</v>
      </c>
      <c r="N45" s="1522">
        <v>111</v>
      </c>
      <c r="O45" s="1533">
        <v>856014</v>
      </c>
      <c r="P45" s="1533">
        <f>O45/N45</f>
        <v>7711.8378378378375</v>
      </c>
      <c r="Q45" s="1534">
        <f>O45/O61</f>
        <v>2.1788869511140091E-2</v>
      </c>
      <c r="R45" s="1522">
        <v>123</v>
      </c>
      <c r="S45" s="1533">
        <v>879089</v>
      </c>
      <c r="T45" s="1533">
        <f>S45/R45</f>
        <v>7147.0650406504064</v>
      </c>
      <c r="U45" s="1534">
        <f>S45/S61</f>
        <v>2.5038326264780978E-2</v>
      </c>
      <c r="V45" s="1522">
        <v>54</v>
      </c>
      <c r="W45" s="1533">
        <v>330110</v>
      </c>
      <c r="X45" s="1533">
        <f>W45/V45</f>
        <v>6113.1481481481478</v>
      </c>
      <c r="Y45" s="1534">
        <f>W45/W61</f>
        <v>1.3997492909134089E-2</v>
      </c>
      <c r="Z45" s="1528">
        <v>47</v>
      </c>
      <c r="AA45" s="1536">
        <v>265058</v>
      </c>
      <c r="AB45" s="1535">
        <f>AA45/Z45</f>
        <v>5639.5319148936169</v>
      </c>
      <c r="AC45" s="1536"/>
      <c r="AD45" s="1528">
        <v>125</v>
      </c>
      <c r="AE45" s="1536">
        <v>756595.5</v>
      </c>
      <c r="AF45" s="1535">
        <f>AE45/AD45</f>
        <v>6052.7640000000001</v>
      </c>
      <c r="AG45" s="1536"/>
      <c r="AH45" s="1528">
        <v>123</v>
      </c>
      <c r="AI45" s="1536">
        <v>738505.5</v>
      </c>
    </row>
    <row r="46" spans="1:264" s="1550" customFormat="1" ht="13.8" thickBot="1" x14ac:dyDescent="0.3">
      <c r="A46" s="1537" t="s">
        <v>1499</v>
      </c>
      <c r="B46" s="1537"/>
      <c r="C46" s="1537"/>
      <c r="D46" s="1537"/>
      <c r="E46" s="1537"/>
      <c r="F46" s="1538">
        <f>SUM(F43:F45)</f>
        <v>789</v>
      </c>
      <c r="G46" s="1539">
        <f>SUM(G43:G45)</f>
        <v>3522491</v>
      </c>
      <c r="H46" s="1533">
        <f>G46/F46</f>
        <v>4464.5006337135619</v>
      </c>
      <c r="I46" s="1534">
        <f>G46/G61</f>
        <v>8.8296718238849839E-2</v>
      </c>
      <c r="J46" s="1538">
        <f>SUM(J43:J45)</f>
        <v>764</v>
      </c>
      <c r="K46" s="1539">
        <f>SUM(K43:K45)</f>
        <v>3326090</v>
      </c>
      <c r="L46" s="1533">
        <f>K46/J46</f>
        <v>4353.5209424083769</v>
      </c>
      <c r="M46" s="1534">
        <f>K46/K61</f>
        <v>8.1600027752090715E-2</v>
      </c>
      <c r="N46" s="1538">
        <f>SUM(N43:N45)</f>
        <v>763</v>
      </c>
      <c r="O46" s="1539">
        <f>SUM(O43:O45)</f>
        <v>3107042</v>
      </c>
      <c r="P46" s="1533">
        <f>O46/N46</f>
        <v>4072.1389252948884</v>
      </c>
      <c r="Q46" s="1534">
        <f>O46/O61</f>
        <v>7.9086244738557701E-2</v>
      </c>
      <c r="R46" s="1538">
        <f>SUM(R43:R45)</f>
        <v>689</v>
      </c>
      <c r="S46" s="1539">
        <f>SUM(S43:S45)</f>
        <v>2706328</v>
      </c>
      <c r="T46" s="1533">
        <f>S46/R46</f>
        <v>3927.9071117561684</v>
      </c>
      <c r="U46" s="1534">
        <f>S46/S61</f>
        <v>7.7081983102407353E-2</v>
      </c>
      <c r="V46" s="1538">
        <f>SUM(V43:V45)</f>
        <v>377</v>
      </c>
      <c r="W46" s="1539">
        <f>SUM(W43:W45)</f>
        <v>1502413</v>
      </c>
      <c r="X46" s="1533">
        <f>W46/V46</f>
        <v>3985.1803713527852</v>
      </c>
      <c r="Y46" s="1534">
        <f>W46/W61</f>
        <v>6.3706083772351263E-2</v>
      </c>
      <c r="Z46" s="1538">
        <f t="shared" ref="Z46:AI46" si="15">SUM(Z43:Z45)</f>
        <v>294</v>
      </c>
      <c r="AA46" s="1540">
        <f t="shared" si="15"/>
        <v>1219306</v>
      </c>
      <c r="AB46" s="1535">
        <f>AA46/Z46</f>
        <v>4147.2993197278911</v>
      </c>
      <c r="AC46" s="1540"/>
      <c r="AD46" s="1538">
        <f t="shared" si="15"/>
        <v>328</v>
      </c>
      <c r="AE46" s="1540">
        <f t="shared" si="15"/>
        <v>1282594.5</v>
      </c>
      <c r="AF46" s="1535">
        <f>AE46/AD46</f>
        <v>3910.3490853658536</v>
      </c>
      <c r="AG46" s="1540"/>
      <c r="AH46" s="1538">
        <f t="shared" si="15"/>
        <v>232</v>
      </c>
      <c r="AI46" s="1540">
        <f t="shared" si="15"/>
        <v>1038598.5</v>
      </c>
      <c r="AJ46" s="1520"/>
      <c r="AK46" s="1520"/>
      <c r="AL46" s="1520"/>
      <c r="AM46" s="1520"/>
      <c r="AN46" s="1520"/>
      <c r="AO46" s="1520"/>
      <c r="AP46" s="1520"/>
      <c r="AQ46" s="1520"/>
      <c r="AR46" s="1520"/>
      <c r="AS46" s="1520"/>
      <c r="AT46" s="1520"/>
      <c r="AU46" s="1520"/>
      <c r="AV46" s="1520"/>
      <c r="AW46" s="1520"/>
      <c r="AX46" s="1520"/>
      <c r="AY46" s="1520"/>
      <c r="AZ46" s="1520"/>
      <c r="BA46" s="1520"/>
      <c r="BB46" s="1520"/>
      <c r="BC46" s="1520"/>
      <c r="BD46" s="1520"/>
      <c r="BE46" s="1520"/>
      <c r="BF46" s="1520"/>
      <c r="BG46" s="1520"/>
      <c r="BH46" s="1520"/>
      <c r="BI46" s="1520"/>
      <c r="BJ46" s="1520"/>
      <c r="BK46" s="1520"/>
      <c r="BL46" s="1520"/>
      <c r="BM46" s="1520"/>
      <c r="BN46" s="1520"/>
      <c r="BO46" s="1520"/>
      <c r="BP46" s="1520"/>
      <c r="BQ46" s="1520"/>
      <c r="BR46" s="1520"/>
      <c r="BS46" s="1520"/>
      <c r="BT46" s="1520"/>
      <c r="BU46" s="1520"/>
      <c r="BV46" s="1520"/>
      <c r="BW46" s="1520"/>
      <c r="BX46" s="1520"/>
      <c r="BY46" s="1520"/>
      <c r="BZ46" s="1520"/>
      <c r="CA46" s="1520"/>
      <c r="CB46" s="1520"/>
      <c r="CC46" s="1520"/>
      <c r="CD46" s="1520"/>
      <c r="CE46" s="1520"/>
      <c r="CF46" s="1520"/>
      <c r="CG46" s="1520"/>
      <c r="CH46" s="1520"/>
      <c r="CI46" s="1520"/>
      <c r="CJ46" s="1520"/>
      <c r="CK46" s="1520"/>
      <c r="CL46" s="1520"/>
      <c r="CM46" s="1520"/>
      <c r="CN46" s="1520"/>
      <c r="CO46" s="1520"/>
      <c r="CP46" s="1520"/>
      <c r="CQ46" s="1520"/>
      <c r="CR46" s="1520"/>
      <c r="CS46" s="1520"/>
      <c r="CT46" s="1520"/>
      <c r="CU46" s="1520"/>
      <c r="CV46" s="1520"/>
      <c r="CW46" s="1520"/>
      <c r="CX46" s="1520"/>
      <c r="CY46" s="1520"/>
      <c r="CZ46" s="1520"/>
      <c r="DA46" s="1520"/>
      <c r="DB46" s="1520"/>
      <c r="DC46" s="1520"/>
      <c r="DD46" s="1520"/>
      <c r="DE46" s="1520"/>
      <c r="DF46" s="1520"/>
      <c r="DG46" s="1520"/>
      <c r="DH46" s="1520"/>
      <c r="DI46" s="1520"/>
      <c r="DJ46" s="1520"/>
      <c r="DK46" s="1520"/>
      <c r="DL46" s="1520"/>
      <c r="DM46" s="1520"/>
      <c r="DN46" s="1520"/>
      <c r="DO46" s="1520"/>
      <c r="DP46" s="1520"/>
      <c r="DQ46" s="1520"/>
      <c r="DR46" s="1520"/>
      <c r="DS46" s="1520"/>
      <c r="DT46" s="1520"/>
      <c r="DU46" s="1520"/>
      <c r="DV46" s="1520"/>
      <c r="DW46" s="1520"/>
      <c r="DX46" s="1520"/>
      <c r="DY46" s="1520"/>
      <c r="DZ46" s="1520"/>
      <c r="EA46" s="1520"/>
      <c r="EB46" s="1520"/>
      <c r="EC46" s="1520"/>
      <c r="ED46" s="1520"/>
      <c r="EE46" s="1520"/>
      <c r="EF46" s="1520"/>
      <c r="EG46" s="1520"/>
      <c r="EH46" s="1520"/>
      <c r="EI46" s="1520"/>
      <c r="EJ46" s="1520"/>
      <c r="EK46" s="1520"/>
      <c r="EL46" s="1520"/>
      <c r="EM46" s="1520"/>
      <c r="EN46" s="1520"/>
      <c r="EO46" s="1520"/>
      <c r="EP46" s="1520"/>
      <c r="EQ46" s="1520"/>
      <c r="ER46" s="1520"/>
      <c r="ES46" s="1520"/>
      <c r="ET46" s="1520"/>
      <c r="EU46" s="1520"/>
      <c r="EV46" s="1520"/>
      <c r="EW46" s="1520"/>
      <c r="EX46" s="1520"/>
      <c r="EY46" s="1520"/>
      <c r="EZ46" s="1520"/>
      <c r="FA46" s="1520"/>
      <c r="FB46" s="1520"/>
      <c r="FC46" s="1520"/>
      <c r="FD46" s="1520"/>
      <c r="FE46" s="1520"/>
      <c r="FF46" s="1520"/>
      <c r="FG46" s="1520"/>
      <c r="FH46" s="1520"/>
      <c r="FI46" s="1520"/>
      <c r="FJ46" s="1520"/>
      <c r="FK46" s="1520"/>
      <c r="FL46" s="1520"/>
      <c r="FM46" s="1520"/>
      <c r="FN46" s="1520"/>
      <c r="FO46" s="1520"/>
      <c r="FP46" s="1520"/>
      <c r="FQ46" s="1520"/>
      <c r="FR46" s="1520"/>
      <c r="FS46" s="1520"/>
      <c r="FT46" s="1520"/>
      <c r="FU46" s="1520"/>
      <c r="FV46" s="1520"/>
      <c r="FW46" s="1520"/>
      <c r="FX46" s="1520"/>
      <c r="FY46" s="1520"/>
      <c r="FZ46" s="1520"/>
      <c r="GA46" s="1520"/>
      <c r="GB46" s="1520"/>
      <c r="GC46" s="1520"/>
      <c r="GD46" s="1520"/>
      <c r="GE46" s="1520"/>
      <c r="GF46" s="1520"/>
      <c r="GG46" s="1520"/>
      <c r="GH46" s="1520"/>
      <c r="GI46" s="1520"/>
      <c r="GJ46" s="1520"/>
      <c r="GK46" s="1520"/>
      <c r="GL46" s="1520"/>
      <c r="GM46" s="1520"/>
      <c r="GN46" s="1520"/>
      <c r="GO46" s="1520"/>
      <c r="GP46" s="1520"/>
      <c r="GQ46" s="1520"/>
      <c r="GR46" s="1520"/>
      <c r="GS46" s="1520"/>
      <c r="GT46" s="1520"/>
      <c r="GU46" s="1520"/>
      <c r="GV46" s="1520"/>
      <c r="GW46" s="1520"/>
      <c r="GX46" s="1520"/>
      <c r="GY46" s="1520"/>
      <c r="GZ46" s="1520"/>
      <c r="HA46" s="1520"/>
      <c r="HB46" s="1520"/>
      <c r="HC46" s="1520"/>
      <c r="HD46" s="1520"/>
      <c r="HE46" s="1520"/>
      <c r="HF46" s="1520"/>
      <c r="HG46" s="1520"/>
      <c r="HH46" s="1520"/>
      <c r="HI46" s="1520"/>
      <c r="HJ46" s="1520"/>
      <c r="HK46" s="1520"/>
      <c r="HL46" s="1520"/>
      <c r="HM46" s="1520"/>
      <c r="HN46" s="1520"/>
      <c r="HO46" s="1520"/>
      <c r="HP46" s="1520"/>
      <c r="HQ46" s="1520"/>
      <c r="HR46" s="1520"/>
      <c r="HS46" s="1520"/>
      <c r="HT46" s="1520"/>
      <c r="HU46" s="1520"/>
      <c r="HV46" s="1520"/>
      <c r="HW46" s="1520"/>
      <c r="HX46" s="1520"/>
      <c r="HY46" s="1520"/>
      <c r="HZ46" s="1520"/>
      <c r="IA46" s="1520"/>
      <c r="IB46" s="1520"/>
      <c r="IC46" s="1520"/>
      <c r="ID46" s="1520"/>
      <c r="IE46" s="1520"/>
      <c r="IF46" s="1520"/>
      <c r="IG46" s="1520"/>
      <c r="IH46" s="1520"/>
      <c r="II46" s="1520"/>
      <c r="IJ46" s="1520"/>
      <c r="IK46" s="1520"/>
      <c r="IL46" s="1520"/>
      <c r="IM46" s="1520"/>
      <c r="IN46" s="1520"/>
      <c r="IO46" s="1520"/>
      <c r="IP46" s="1520"/>
      <c r="IQ46" s="1520"/>
      <c r="IR46" s="1520"/>
      <c r="IS46" s="1520"/>
      <c r="IT46" s="1520"/>
      <c r="IU46" s="1520"/>
      <c r="IV46" s="1520"/>
      <c r="IW46" s="1520"/>
      <c r="IX46" s="1520"/>
      <c r="IY46" s="1520"/>
      <c r="IZ46" s="1520"/>
      <c r="JA46" s="1520"/>
      <c r="JB46" s="1520"/>
      <c r="JC46" s="1520"/>
      <c r="JD46" s="1520"/>
    </row>
    <row r="47" spans="1:264" s="1520" customFormat="1" ht="8.25" customHeight="1" x14ac:dyDescent="0.25">
      <c r="A47" s="1541"/>
      <c r="B47" s="1541"/>
      <c r="C47" s="1541"/>
      <c r="D47" s="1541"/>
      <c r="E47" s="1541"/>
      <c r="F47" s="1542"/>
      <c r="G47" s="1543"/>
      <c r="H47" s="1533"/>
      <c r="I47" s="1534"/>
      <c r="J47" s="1542"/>
      <c r="K47" s="1543"/>
      <c r="L47" s="1533"/>
      <c r="M47" s="1534"/>
      <c r="N47" s="1542"/>
      <c r="O47" s="1543"/>
      <c r="P47" s="1533"/>
      <c r="Q47" s="1534"/>
      <c r="R47" s="1542"/>
      <c r="S47" s="1543"/>
      <c r="T47" s="1533"/>
      <c r="U47" s="1534"/>
      <c r="V47" s="1542"/>
      <c r="W47" s="1543"/>
      <c r="X47" s="1533"/>
      <c r="Y47" s="1534"/>
      <c r="Z47" s="1542"/>
      <c r="AA47" s="1545"/>
      <c r="AB47" s="1535"/>
      <c r="AC47" s="1545"/>
      <c r="AD47" s="1542"/>
      <c r="AE47" s="1545"/>
      <c r="AF47" s="1535"/>
      <c r="AG47" s="1545"/>
      <c r="AH47" s="1542"/>
      <c r="AI47" s="1545"/>
    </row>
    <row r="48" spans="1:264" s="1520" customFormat="1" x14ac:dyDescent="0.25">
      <c r="A48" s="1521" t="s">
        <v>543</v>
      </c>
      <c r="B48" s="1689"/>
      <c r="C48" s="1689"/>
      <c r="D48" s="1689"/>
      <c r="E48" s="1689"/>
      <c r="F48" s="1809" t="s">
        <v>1503</v>
      </c>
      <c r="G48" s="1810"/>
      <c r="H48" s="1810"/>
      <c r="I48" s="1811"/>
      <c r="J48" s="1812" t="s">
        <v>1377</v>
      </c>
      <c r="K48" s="1813"/>
      <c r="L48" s="1813"/>
      <c r="M48" s="1814"/>
      <c r="N48" s="1812" t="s">
        <v>1389</v>
      </c>
      <c r="O48" s="1813"/>
      <c r="P48" s="1813"/>
      <c r="Q48" s="1814"/>
      <c r="R48" s="1812" t="s">
        <v>1388</v>
      </c>
      <c r="S48" s="1813"/>
      <c r="T48" s="1813"/>
      <c r="U48" s="1814"/>
      <c r="V48" s="1815" t="s">
        <v>583</v>
      </c>
      <c r="W48" s="1816"/>
      <c r="X48" s="1533"/>
      <c r="Y48" s="1534"/>
      <c r="Z48" s="1815" t="s">
        <v>363</v>
      </c>
      <c r="AA48" s="1816"/>
      <c r="AB48" s="1535"/>
      <c r="AC48" s="1522"/>
      <c r="AD48" s="1524" t="s">
        <v>1261</v>
      </c>
      <c r="AE48" s="1525"/>
      <c r="AF48" s="1535"/>
      <c r="AG48" s="1522"/>
      <c r="AH48" s="1524" t="s">
        <v>274</v>
      </c>
      <c r="AI48" s="1525"/>
    </row>
    <row r="49" spans="1:857" s="1520" customFormat="1" x14ac:dyDescent="0.25">
      <c r="A49" s="1526"/>
      <c r="B49" s="1526"/>
      <c r="C49" s="1526"/>
      <c r="D49" s="1526"/>
      <c r="E49" s="1526"/>
      <c r="F49" s="1527" t="s">
        <v>586</v>
      </c>
      <c r="G49" s="1527" t="s">
        <v>587</v>
      </c>
      <c r="H49" s="1528" t="s">
        <v>1596</v>
      </c>
      <c r="I49" s="1529" t="s">
        <v>1366</v>
      </c>
      <c r="J49" s="1527" t="s">
        <v>586</v>
      </c>
      <c r="K49" s="1527" t="s">
        <v>587</v>
      </c>
      <c r="L49" s="1528" t="s">
        <v>1596</v>
      </c>
      <c r="M49" s="1529" t="s">
        <v>1366</v>
      </c>
      <c r="N49" s="1527" t="s">
        <v>586</v>
      </c>
      <c r="O49" s="1527" t="s">
        <v>587</v>
      </c>
      <c r="P49" s="1528" t="s">
        <v>1596</v>
      </c>
      <c r="Q49" s="1529" t="s">
        <v>1366</v>
      </c>
      <c r="R49" s="1527" t="s">
        <v>586</v>
      </c>
      <c r="S49" s="1527" t="s">
        <v>587</v>
      </c>
      <c r="T49" s="1528" t="s">
        <v>1596</v>
      </c>
      <c r="U49" s="1529" t="s">
        <v>1366</v>
      </c>
      <c r="V49" s="1530"/>
      <c r="W49" s="1531"/>
      <c r="X49" s="1533"/>
      <c r="Y49" s="1534"/>
      <c r="Z49" s="1530"/>
      <c r="AA49" s="1531"/>
      <c r="AB49" s="1535"/>
      <c r="AC49" s="1522"/>
      <c r="AD49" s="1524"/>
      <c r="AE49" s="1525"/>
      <c r="AF49" s="1535"/>
      <c r="AG49" s="1522"/>
      <c r="AH49" s="1524"/>
      <c r="AI49" s="1525"/>
    </row>
    <row r="50" spans="1:857" s="1520" customFormat="1" x14ac:dyDescent="0.25">
      <c r="A50" s="1532" t="s">
        <v>1622</v>
      </c>
      <c r="B50" s="1532"/>
      <c r="C50" s="1532"/>
      <c r="D50" s="1532"/>
      <c r="E50" s="1532"/>
      <c r="F50" s="1522">
        <v>177</v>
      </c>
      <c r="G50" s="1533">
        <v>960222</v>
      </c>
      <c r="H50" s="1533">
        <f>G50/F50</f>
        <v>5424.9830508474579</v>
      </c>
      <c r="I50" s="1534">
        <f>G50/G61</f>
        <v>2.4069458624804113E-2</v>
      </c>
      <c r="J50" s="1522">
        <v>172</v>
      </c>
      <c r="K50" s="1533">
        <v>930946</v>
      </c>
      <c r="L50" s="1533">
        <f>K50/J50</f>
        <v>5412.4767441860467</v>
      </c>
      <c r="M50" s="1534">
        <f>K50/K61</f>
        <v>2.2839195402318591E-2</v>
      </c>
      <c r="N50" s="1522">
        <v>174</v>
      </c>
      <c r="O50" s="1533">
        <v>889168</v>
      </c>
      <c r="P50" s="1533">
        <f>O50/N50</f>
        <v>5110.1609195402298</v>
      </c>
      <c r="Q50" s="1534">
        <f>O50/O61</f>
        <v>2.263276713404385E-2</v>
      </c>
      <c r="R50" s="1522">
        <v>166</v>
      </c>
      <c r="S50" s="1533">
        <v>863849</v>
      </c>
      <c r="T50" s="1533">
        <f>S50/R50</f>
        <v>5203.9096385542171</v>
      </c>
      <c r="U50" s="1534">
        <f>S50/S61</f>
        <v>2.4604258619439878E-2</v>
      </c>
      <c r="V50" s="1522">
        <v>166</v>
      </c>
      <c r="W50" s="1533">
        <v>722695</v>
      </c>
      <c r="X50" s="1533">
        <f>W50/V50</f>
        <v>4353.5843373493972</v>
      </c>
      <c r="Y50" s="1534">
        <f>W50/W61</f>
        <v>3.0644082693546581E-2</v>
      </c>
      <c r="Z50" s="1522">
        <v>154</v>
      </c>
      <c r="AA50" s="1535">
        <v>685453</v>
      </c>
      <c r="AB50" s="1535">
        <f>AA50/Z50</f>
        <v>4450.9935064935062</v>
      </c>
      <c r="AC50" s="1535"/>
      <c r="AD50" s="1522">
        <v>151</v>
      </c>
      <c r="AE50" s="1535">
        <v>556564.51</v>
      </c>
      <c r="AF50" s="1535">
        <f>AE50/AD50</f>
        <v>3685.8576821192055</v>
      </c>
      <c r="AG50" s="1535"/>
      <c r="AH50" s="1522">
        <v>143</v>
      </c>
      <c r="AI50" s="1535">
        <v>504629.84</v>
      </c>
    </row>
    <row r="51" spans="1:857" s="1520" customFormat="1" x14ac:dyDescent="0.25">
      <c r="A51" s="1532" t="s">
        <v>1623</v>
      </c>
      <c r="B51" s="1532"/>
      <c r="C51" s="1532"/>
      <c r="D51" s="1532"/>
      <c r="E51" s="1532"/>
      <c r="F51" s="1522">
        <v>517</v>
      </c>
      <c r="G51" s="1533">
        <v>425247</v>
      </c>
      <c r="H51" s="1533">
        <f>G51/F51</f>
        <v>822.52804642166348</v>
      </c>
      <c r="I51" s="1534">
        <f>G51/G61</f>
        <v>1.0659477778911622E-2</v>
      </c>
      <c r="J51" s="1522">
        <v>511</v>
      </c>
      <c r="K51" s="1533">
        <v>408645</v>
      </c>
      <c r="L51" s="1533">
        <f>K51/J51</f>
        <v>799.69667318982385</v>
      </c>
      <c r="M51" s="1534">
        <f>K51/K61</f>
        <v>1.0025418236052875E-2</v>
      </c>
      <c r="N51" s="1522">
        <v>431</v>
      </c>
      <c r="O51" s="1533">
        <v>382580</v>
      </c>
      <c r="P51" s="1533">
        <f>O51/N51</f>
        <v>887.65661252900236</v>
      </c>
      <c r="Q51" s="1534">
        <f>O51/O61</f>
        <v>9.7381417798914228E-3</v>
      </c>
      <c r="R51" s="1522">
        <v>491</v>
      </c>
      <c r="S51" s="1533">
        <v>374487</v>
      </c>
      <c r="T51" s="1533">
        <f>S51/R51</f>
        <v>762.70264765784111</v>
      </c>
      <c r="U51" s="1534">
        <f>S51/S61</f>
        <v>1.0666187027614991E-2</v>
      </c>
      <c r="V51" s="1522">
        <v>539</v>
      </c>
      <c r="W51" s="1533">
        <v>559435</v>
      </c>
      <c r="X51" s="1533">
        <f>W51/V51</f>
        <v>1037.9128014842302</v>
      </c>
      <c r="Y51" s="1534">
        <f>W51/W61</f>
        <v>2.3721448746240433E-2</v>
      </c>
      <c r="Z51" s="1522">
        <v>396</v>
      </c>
      <c r="AA51" s="1535">
        <v>582815</v>
      </c>
      <c r="AB51" s="1535">
        <f>AA51/Z51</f>
        <v>1471.7550505050506</v>
      </c>
      <c r="AC51" s="1535"/>
      <c r="AD51" s="1522">
        <v>440</v>
      </c>
      <c r="AE51" s="1535">
        <v>541676</v>
      </c>
      <c r="AF51" s="1535">
        <f>AE51/AD51</f>
        <v>1231.0818181818181</v>
      </c>
      <c r="AG51" s="1535"/>
      <c r="AH51" s="1522">
        <v>554</v>
      </c>
      <c r="AI51" s="1535">
        <v>508497.59</v>
      </c>
    </row>
    <row r="52" spans="1:857" s="1520" customFormat="1" x14ac:dyDescent="0.25">
      <c r="A52" s="1537" t="s">
        <v>1499</v>
      </c>
      <c r="B52" s="1537"/>
      <c r="C52" s="1537"/>
      <c r="D52" s="1537"/>
      <c r="E52" s="1537"/>
      <c r="F52" s="1538">
        <f>SUM(F50:F51)</f>
        <v>694</v>
      </c>
      <c r="G52" s="1539">
        <f>SUM(G50:G51)</f>
        <v>1385469</v>
      </c>
      <c r="H52" s="1533">
        <f>G52/F52</f>
        <v>1996.3530259365994</v>
      </c>
      <c r="I52" s="1534">
        <f>G52/G61</f>
        <v>3.4728936403715736E-2</v>
      </c>
      <c r="J52" s="1538">
        <f>SUM(J50:J51)</f>
        <v>683</v>
      </c>
      <c r="K52" s="1539">
        <f>SUM(K50:K51)</f>
        <v>1339591</v>
      </c>
      <c r="L52" s="1533">
        <f>K52/J52</f>
        <v>1961.3338213762811</v>
      </c>
      <c r="M52" s="1534">
        <f>K52/K61</f>
        <v>3.2864613638371468E-2</v>
      </c>
      <c r="N52" s="1538">
        <f>SUM(N48:N51)</f>
        <v>605</v>
      </c>
      <c r="O52" s="1539">
        <f>SUM(O48:O51)</f>
        <v>1271748</v>
      </c>
      <c r="P52" s="1533">
        <f>O52/N52</f>
        <v>2102.0628099173555</v>
      </c>
      <c r="Q52" s="1534">
        <f>O52/O61</f>
        <v>3.2370908913935272E-2</v>
      </c>
      <c r="R52" s="1538">
        <f>SUM(R48:R51)</f>
        <v>657</v>
      </c>
      <c r="S52" s="1539">
        <f>SUM(S48:S51)</f>
        <v>1238336</v>
      </c>
      <c r="T52" s="1533">
        <f>S52/R52</f>
        <v>1884.8340943683409</v>
      </c>
      <c r="U52" s="1534">
        <f>S52/S61</f>
        <v>3.5270445647054872E-2</v>
      </c>
      <c r="V52" s="1538">
        <f>SUM(V48:V51)</f>
        <v>705</v>
      </c>
      <c r="W52" s="1539">
        <f>SUM(W48:W51)</f>
        <v>1282130</v>
      </c>
      <c r="X52" s="1533">
        <f>W52/V52</f>
        <v>1818.6241134751774</v>
      </c>
      <c r="Y52" s="1534">
        <f>W52/W61</f>
        <v>5.4365531439787014E-2</v>
      </c>
      <c r="Z52" s="1538">
        <f t="shared" ref="Z52:AI52" si="16">SUM(Z50:Z51)</f>
        <v>550</v>
      </c>
      <c r="AA52" s="1540">
        <f t="shared" si="16"/>
        <v>1268268</v>
      </c>
      <c r="AB52" s="1535">
        <f>AA52/Z52</f>
        <v>2305.9418181818182</v>
      </c>
      <c r="AC52" s="1540"/>
      <c r="AD52" s="1538">
        <f t="shared" si="16"/>
        <v>591</v>
      </c>
      <c r="AE52" s="1540">
        <f t="shared" si="16"/>
        <v>1098240.51</v>
      </c>
      <c r="AF52" s="1535">
        <f>AE52/AD52</f>
        <v>1858.2749746192894</v>
      </c>
      <c r="AG52" s="1540"/>
      <c r="AH52" s="1538">
        <f t="shared" si="16"/>
        <v>697</v>
      </c>
      <c r="AI52" s="1540">
        <f t="shared" si="16"/>
        <v>1013127.43</v>
      </c>
    </row>
    <row r="53" spans="1:857" s="1520" customFormat="1" ht="8.25" customHeight="1" x14ac:dyDescent="0.25">
      <c r="A53" s="1541"/>
      <c r="B53" s="1541"/>
      <c r="C53" s="1541"/>
      <c r="D53" s="1541"/>
      <c r="E53" s="1541"/>
      <c r="F53" s="1542"/>
      <c r="G53" s="1543"/>
      <c r="H53" s="1533"/>
      <c r="I53" s="1534"/>
      <c r="J53" s="1542"/>
      <c r="K53" s="1543"/>
      <c r="L53" s="1533"/>
      <c r="M53" s="1534"/>
      <c r="N53" s="1542"/>
      <c r="O53" s="1543"/>
      <c r="P53" s="1533"/>
      <c r="Q53" s="1534"/>
      <c r="R53" s="1542"/>
      <c r="S53" s="1543"/>
      <c r="T53" s="1533"/>
      <c r="U53" s="1534"/>
      <c r="V53" s="1542"/>
      <c r="W53" s="1543"/>
      <c r="X53" s="1533"/>
      <c r="Y53" s="1534"/>
      <c r="Z53" s="1542"/>
      <c r="AA53" s="1545"/>
      <c r="AB53" s="1535"/>
      <c r="AC53" s="1545"/>
      <c r="AD53" s="1542"/>
      <c r="AE53" s="1545"/>
      <c r="AF53" s="1535"/>
      <c r="AG53" s="1545"/>
      <c r="AH53" s="1542"/>
      <c r="AI53" s="1545"/>
    </row>
    <row r="54" spans="1:857" s="1520" customFormat="1" x14ac:dyDescent="0.25">
      <c r="A54" s="1521" t="s">
        <v>544</v>
      </c>
      <c r="B54" s="1689"/>
      <c r="C54" s="1689"/>
      <c r="D54" s="1689"/>
      <c r="E54" s="1689"/>
      <c r="F54" s="1809" t="s">
        <v>1503</v>
      </c>
      <c r="G54" s="1810"/>
      <c r="H54" s="1810"/>
      <c r="I54" s="1811"/>
      <c r="J54" s="1812" t="s">
        <v>1377</v>
      </c>
      <c r="K54" s="1813"/>
      <c r="L54" s="1813"/>
      <c r="M54" s="1814"/>
      <c r="N54" s="1812" t="s">
        <v>1389</v>
      </c>
      <c r="O54" s="1813"/>
      <c r="P54" s="1813"/>
      <c r="Q54" s="1814"/>
      <c r="R54" s="1812" t="s">
        <v>1388</v>
      </c>
      <c r="S54" s="1813"/>
      <c r="T54" s="1813"/>
      <c r="U54" s="1814"/>
      <c r="V54" s="1815" t="s">
        <v>583</v>
      </c>
      <c r="W54" s="1816"/>
      <c r="X54" s="1533"/>
      <c r="Y54" s="1534"/>
      <c r="Z54" s="1815" t="s">
        <v>363</v>
      </c>
      <c r="AA54" s="1816"/>
      <c r="AB54" s="1535"/>
      <c r="AC54" s="1522"/>
      <c r="AD54" s="1524" t="s">
        <v>1261</v>
      </c>
      <c r="AE54" s="1525"/>
      <c r="AF54" s="1535"/>
      <c r="AG54" s="1522"/>
      <c r="AH54" s="1524" t="s">
        <v>274</v>
      </c>
      <c r="AI54" s="1525"/>
    </row>
    <row r="55" spans="1:857" s="1520" customFormat="1" x14ac:dyDescent="0.25">
      <c r="A55" s="1526"/>
      <c r="B55" s="1526"/>
      <c r="C55" s="1526"/>
      <c r="D55" s="1526"/>
      <c r="E55" s="1526"/>
      <c r="F55" s="1527" t="s">
        <v>586</v>
      </c>
      <c r="G55" s="1527" t="s">
        <v>587</v>
      </c>
      <c r="H55" s="1528" t="s">
        <v>1596</v>
      </c>
      <c r="I55" s="1529" t="s">
        <v>1366</v>
      </c>
      <c r="J55" s="1527" t="s">
        <v>586</v>
      </c>
      <c r="K55" s="1527" t="s">
        <v>587</v>
      </c>
      <c r="L55" s="1528" t="s">
        <v>1596</v>
      </c>
      <c r="M55" s="1529" t="s">
        <v>1366</v>
      </c>
      <c r="N55" s="1527" t="s">
        <v>586</v>
      </c>
      <c r="O55" s="1527" t="s">
        <v>587</v>
      </c>
      <c r="P55" s="1528" t="s">
        <v>1596</v>
      </c>
      <c r="Q55" s="1529" t="s">
        <v>1366</v>
      </c>
      <c r="R55" s="1527" t="s">
        <v>586</v>
      </c>
      <c r="S55" s="1527" t="s">
        <v>587</v>
      </c>
      <c r="T55" s="1528" t="s">
        <v>1596</v>
      </c>
      <c r="U55" s="1529" t="s">
        <v>1366</v>
      </c>
      <c r="V55" s="1530"/>
      <c r="W55" s="1531"/>
      <c r="X55" s="1533"/>
      <c r="Y55" s="1534"/>
      <c r="Z55" s="1530"/>
      <c r="AA55" s="1531"/>
      <c r="AB55" s="1535"/>
      <c r="AC55" s="1522"/>
      <c r="AD55" s="1524"/>
      <c r="AE55" s="1525"/>
      <c r="AF55" s="1535"/>
      <c r="AG55" s="1522"/>
      <c r="AH55" s="1524"/>
      <c r="AI55" s="1525"/>
    </row>
    <row r="56" spans="1:857" s="1520" customFormat="1" x14ac:dyDescent="0.25">
      <c r="A56" s="1532" t="s">
        <v>1624</v>
      </c>
      <c r="B56" s="1532"/>
      <c r="C56" s="1532"/>
      <c r="D56" s="1532"/>
      <c r="E56" s="1532"/>
      <c r="F56" s="1522">
        <v>164</v>
      </c>
      <c r="G56" s="1533">
        <v>1246832</v>
      </c>
      <c r="H56" s="1533">
        <f>G56/F56</f>
        <v>7602.6341463414637</v>
      </c>
      <c r="I56" s="1534">
        <f>G56/G61</f>
        <v>3.1253784266640175E-2</v>
      </c>
      <c r="J56" s="1522">
        <v>126</v>
      </c>
      <c r="K56" s="1533">
        <v>1061084</v>
      </c>
      <c r="L56" s="1533">
        <f>K56/J56</f>
        <v>8421.3015873015866</v>
      </c>
      <c r="M56" s="1534">
        <f>K56/K61</f>
        <v>2.6031912500052441E-2</v>
      </c>
      <c r="N56" s="1522">
        <v>128</v>
      </c>
      <c r="O56" s="1533">
        <v>847302</v>
      </c>
      <c r="P56" s="1533">
        <f>O56/N56</f>
        <v>6619.546875</v>
      </c>
      <c r="Q56" s="1534">
        <f>O56/O61</f>
        <v>2.1567115391252972E-2</v>
      </c>
      <c r="R56" s="1522">
        <v>86</v>
      </c>
      <c r="S56" s="1533">
        <v>642406</v>
      </c>
      <c r="T56" s="1533">
        <f>S56/R56</f>
        <v>7469.8372093023254</v>
      </c>
      <c r="U56" s="1534">
        <f>S56/S61</f>
        <v>1.8297090536285733E-2</v>
      </c>
      <c r="V56" s="1522">
        <v>215</v>
      </c>
      <c r="W56" s="1533">
        <v>1437281</v>
      </c>
      <c r="X56" s="1533">
        <f>W56/V56</f>
        <v>6685.0279069767439</v>
      </c>
      <c r="Y56" s="1534">
        <f>W56/W61</f>
        <v>6.0944323425322328E-2</v>
      </c>
      <c r="Z56" s="1522">
        <v>249</v>
      </c>
      <c r="AA56" s="1535">
        <v>1548078</v>
      </c>
      <c r="AB56" s="1535">
        <f>AA56/Z56</f>
        <v>6217.1807228915659</v>
      </c>
      <c r="AC56" s="1535"/>
      <c r="AD56" s="1522">
        <v>195</v>
      </c>
      <c r="AE56" s="1535">
        <v>1193643.8</v>
      </c>
      <c r="AF56" s="1535">
        <f>AE56/AD56</f>
        <v>6121.250256410257</v>
      </c>
      <c r="AG56" s="1535"/>
      <c r="AH56" s="1522">
        <v>135</v>
      </c>
      <c r="AI56" s="1535">
        <v>670463.75</v>
      </c>
    </row>
    <row r="57" spans="1:857" s="1520" customFormat="1" x14ac:dyDescent="0.25">
      <c r="A57" s="1532" t="s">
        <v>1625</v>
      </c>
      <c r="B57" s="1532"/>
      <c r="C57" s="1532"/>
      <c r="D57" s="1532"/>
      <c r="E57" s="1532"/>
      <c r="F57" s="1522">
        <v>329</v>
      </c>
      <c r="G57" s="1533">
        <v>646685</v>
      </c>
      <c r="H57" s="1533">
        <f>G57/F57</f>
        <v>1965.6079027355622</v>
      </c>
      <c r="I57" s="1534">
        <f>G57/G61</f>
        <v>1.6210165827049837E-2</v>
      </c>
      <c r="J57" s="1522">
        <v>248</v>
      </c>
      <c r="K57" s="1533">
        <v>498171</v>
      </c>
      <c r="L57" s="1533">
        <f>K57/J57</f>
        <v>2008.7540322580646</v>
      </c>
      <c r="M57" s="1534">
        <f>K57/K61</f>
        <v>1.2221788173286586E-2</v>
      </c>
      <c r="N57" s="1522">
        <v>260</v>
      </c>
      <c r="O57" s="1533">
        <v>499045</v>
      </c>
      <c r="P57" s="1533">
        <f>O57/N57</f>
        <v>1919.4038461538462</v>
      </c>
      <c r="Q57" s="1534">
        <f>O57/O61</f>
        <v>1.2702626808892035E-2</v>
      </c>
      <c r="R57" s="1522">
        <v>267</v>
      </c>
      <c r="S57" s="1533">
        <v>512693</v>
      </c>
      <c r="T57" s="1533">
        <f>S57/R57</f>
        <v>1920.1985018726591</v>
      </c>
      <c r="U57" s="1534">
        <f>S57/S61</f>
        <v>1.460258814257641E-2</v>
      </c>
      <c r="V57" s="1522">
        <v>180</v>
      </c>
      <c r="W57" s="1533">
        <v>474265</v>
      </c>
      <c r="X57" s="1533">
        <f>W57/V57</f>
        <v>2634.8055555555557</v>
      </c>
      <c r="Y57" s="1534">
        <f>W57/W61</f>
        <v>2.0110026883616006E-2</v>
      </c>
      <c r="Z57" s="1522">
        <v>236</v>
      </c>
      <c r="AA57" s="1535">
        <v>418916</v>
      </c>
      <c r="AB57" s="1535">
        <f>AA57/Z57</f>
        <v>1775.0677966101696</v>
      </c>
      <c r="AC57" s="1535"/>
      <c r="AD57" s="1522">
        <v>211</v>
      </c>
      <c r="AE57" s="1535">
        <v>375827</v>
      </c>
      <c r="AF57" s="1535">
        <f>AE57/AD57</f>
        <v>1781.170616113744</v>
      </c>
      <c r="AG57" s="1535"/>
      <c r="AH57" s="1522">
        <v>325</v>
      </c>
      <c r="AI57" s="1535">
        <v>611871.02</v>
      </c>
    </row>
    <row r="58" spans="1:857" s="1520" customFormat="1" x14ac:dyDescent="0.25">
      <c r="A58" s="1532" t="s">
        <v>1626</v>
      </c>
      <c r="B58" s="1532"/>
      <c r="C58" s="1532"/>
      <c r="D58" s="1532"/>
      <c r="E58" s="1532"/>
      <c r="F58" s="1522">
        <v>0</v>
      </c>
      <c r="G58" s="1533">
        <v>0</v>
      </c>
      <c r="H58" s="1533" t="e">
        <f>G58/F58</f>
        <v>#DIV/0!</v>
      </c>
      <c r="I58" s="1534">
        <f>G58/G61</f>
        <v>0</v>
      </c>
      <c r="J58" s="1522">
        <v>16</v>
      </c>
      <c r="K58" s="1533">
        <v>66065</v>
      </c>
      <c r="L58" s="1533">
        <f>K58/J58</f>
        <v>4129.0625</v>
      </c>
      <c r="M58" s="1534">
        <f>K58/K61</f>
        <v>1.620793734818322E-3</v>
      </c>
      <c r="N58" s="1522">
        <v>11</v>
      </c>
      <c r="O58" s="1533">
        <v>23547</v>
      </c>
      <c r="P58" s="1522" t="s">
        <v>1045</v>
      </c>
      <c r="Q58" s="1534" t="s">
        <v>1045</v>
      </c>
      <c r="R58" s="1522" t="s">
        <v>1045</v>
      </c>
      <c r="S58" s="1522" t="s">
        <v>1045</v>
      </c>
      <c r="T58" s="1522" t="s">
        <v>1045</v>
      </c>
      <c r="U58" s="1534" t="s">
        <v>1045</v>
      </c>
      <c r="V58" s="1522">
        <v>15</v>
      </c>
      <c r="W58" s="1533">
        <v>51550</v>
      </c>
      <c r="X58" s="1533">
        <f>W58/V58</f>
        <v>3436.6666666666665</v>
      </c>
      <c r="Y58" s="1534">
        <f>W58/W61</f>
        <v>2.1858494425066261E-3</v>
      </c>
      <c r="Z58" s="1522">
        <v>21</v>
      </c>
      <c r="AA58" s="1535">
        <v>108273</v>
      </c>
      <c r="AB58" s="1535">
        <f>AA58/Z58</f>
        <v>5155.8571428571431</v>
      </c>
      <c r="AC58" s="1535"/>
      <c r="AD58" s="1522"/>
      <c r="AE58" s="1535"/>
      <c r="AF58" s="1522" t="s">
        <v>1045</v>
      </c>
      <c r="AG58" s="1535"/>
      <c r="AH58" s="1522"/>
      <c r="AI58" s="1535"/>
    </row>
    <row r="59" spans="1:857" s="1520" customFormat="1" x14ac:dyDescent="0.25">
      <c r="A59" s="1537" t="s">
        <v>1499</v>
      </c>
      <c r="B59" s="1537"/>
      <c r="C59" s="1537"/>
      <c r="D59" s="1537"/>
      <c r="E59" s="1537"/>
      <c r="F59" s="1538">
        <f>SUM(F56:F58)</f>
        <v>493</v>
      </c>
      <c r="G59" s="1539">
        <f>SUM(G56:G58)</f>
        <v>1893517</v>
      </c>
      <c r="H59" s="1533">
        <f>G59/F59</f>
        <v>3840.8052738336714</v>
      </c>
      <c r="I59" s="1534">
        <f>G59/G61</f>
        <v>4.7463950093690012E-2</v>
      </c>
      <c r="J59" s="1538">
        <f>SUM(J56:J58)</f>
        <v>390</v>
      </c>
      <c r="K59" s="1539">
        <f>SUM(K56:K58)</f>
        <v>1625320</v>
      </c>
      <c r="L59" s="1533">
        <f>K59/J59</f>
        <v>4167.4871794871797</v>
      </c>
      <c r="M59" s="1534">
        <f>K59/K61</f>
        <v>3.9874494408157352E-2</v>
      </c>
      <c r="N59" s="1538">
        <f>SUM(N56:N58)</f>
        <v>399</v>
      </c>
      <c r="O59" s="1539">
        <f>SUM(O56:O58)</f>
        <v>1369894</v>
      </c>
      <c r="P59" s="1533">
        <f>O59/N59</f>
        <v>3433.3182957393483</v>
      </c>
      <c r="Q59" s="1534">
        <f>O59/O61</f>
        <v>3.4869104489054788E-2</v>
      </c>
      <c r="R59" s="1538">
        <f>SUM(R56:R58)</f>
        <v>353</v>
      </c>
      <c r="S59" s="1539">
        <f>SUM(S56:S58)</f>
        <v>1155099</v>
      </c>
      <c r="T59" s="1533">
        <f>S59/R59</f>
        <v>3272.2351274787534</v>
      </c>
      <c r="U59" s="1534">
        <f>S59/S61</f>
        <v>3.2899678678862142E-2</v>
      </c>
      <c r="V59" s="1538">
        <f>SUM(V56:V58)</f>
        <v>410</v>
      </c>
      <c r="W59" s="1539">
        <f>SUM(W56:W58)</f>
        <v>1963096</v>
      </c>
      <c r="X59" s="1533">
        <f>W59/V59</f>
        <v>4788.0390243902439</v>
      </c>
      <c r="Y59" s="1534">
        <f>W59/W61</f>
        <v>8.3240199751444963E-2</v>
      </c>
      <c r="Z59" s="1538">
        <f t="shared" ref="Z59:AI59" si="17">SUM(Z56:Z58)</f>
        <v>506</v>
      </c>
      <c r="AA59" s="1540">
        <f t="shared" si="17"/>
        <v>2075267</v>
      </c>
      <c r="AB59" s="1535">
        <f>AA59/Z59</f>
        <v>4101.318181818182</v>
      </c>
      <c r="AC59" s="1540"/>
      <c r="AD59" s="1538">
        <f t="shared" si="17"/>
        <v>406</v>
      </c>
      <c r="AE59" s="1540">
        <f t="shared" si="17"/>
        <v>1569470.8</v>
      </c>
      <c r="AF59" s="1535">
        <f>AE59/AD59</f>
        <v>3865.6916256157638</v>
      </c>
      <c r="AG59" s="1540"/>
      <c r="AH59" s="1538">
        <f t="shared" si="17"/>
        <v>460</v>
      </c>
      <c r="AI59" s="1540">
        <f t="shared" si="17"/>
        <v>1282334.77</v>
      </c>
    </row>
    <row r="60" spans="1:857" s="1520" customFormat="1" ht="8.25" customHeight="1" thickBot="1" x14ac:dyDescent="0.3">
      <c r="A60" s="1541"/>
      <c r="B60" s="1541"/>
      <c r="C60" s="1541"/>
      <c r="D60" s="1541"/>
      <c r="E60" s="1541"/>
      <c r="F60" s="1542"/>
      <c r="G60" s="1543"/>
      <c r="H60" s="1551"/>
      <c r="I60" s="1347"/>
      <c r="J60" s="1542"/>
      <c r="K60" s="1543"/>
      <c r="L60" s="1551"/>
      <c r="M60" s="1347"/>
      <c r="N60" s="1542"/>
      <c r="O60" s="1543"/>
      <c r="P60" s="1551"/>
      <c r="Q60" s="1347"/>
      <c r="R60" s="1542"/>
      <c r="S60" s="1543"/>
      <c r="T60" s="1551"/>
      <c r="U60" s="1347"/>
      <c r="V60" s="1542"/>
      <c r="W60" s="1543"/>
      <c r="X60" s="1533"/>
      <c r="Y60" s="1534"/>
      <c r="Z60" s="1542"/>
      <c r="AA60" s="1545"/>
      <c r="AB60" s="1535"/>
      <c r="AC60" s="1545"/>
      <c r="AD60" s="1542"/>
      <c r="AE60" s="1545"/>
      <c r="AF60" s="1535"/>
      <c r="AG60" s="1545"/>
      <c r="AH60" s="1542"/>
      <c r="AI60" s="1545"/>
    </row>
    <row r="61" spans="1:857" s="1564" customFormat="1" ht="18" customHeight="1" thickBot="1" x14ac:dyDescent="0.3">
      <c r="A61" s="1552" t="s">
        <v>1367</v>
      </c>
      <c r="B61" s="1552"/>
      <c r="C61" s="1552"/>
      <c r="D61" s="1552"/>
      <c r="E61" s="1552"/>
      <c r="F61" s="1553">
        <v>2870</v>
      </c>
      <c r="G61" s="1554">
        <f>G10+G18+G24+G46+G39+G52+G59</f>
        <v>39893793</v>
      </c>
      <c r="H61" s="1555">
        <f>G61/F61</f>
        <v>13900.27630662021</v>
      </c>
      <c r="I61" s="1556">
        <f>G61/G61</f>
        <v>1</v>
      </c>
      <c r="J61" s="1553">
        <v>2908</v>
      </c>
      <c r="K61" s="1554">
        <f>K10+K18+K24+K46+K39+K52+K59</f>
        <v>40760893</v>
      </c>
      <c r="L61" s="1555">
        <f>K61/J61</f>
        <v>14016.813273727648</v>
      </c>
      <c r="M61" s="1556">
        <f>K61/K61</f>
        <v>1</v>
      </c>
      <c r="N61" s="1553">
        <v>2885</v>
      </c>
      <c r="O61" s="1554">
        <f>O10+O18+O24+O46+O39+O52+O59</f>
        <v>39286756</v>
      </c>
      <c r="P61" s="1555">
        <f>O61/N61</f>
        <v>13617.593067590988</v>
      </c>
      <c r="Q61" s="1556">
        <f>O61/O61</f>
        <v>1</v>
      </c>
      <c r="R61" s="1553">
        <v>2719</v>
      </c>
      <c r="S61" s="1554">
        <f>S10+S18+S24+S46+S39+S52+S59</f>
        <v>35109735</v>
      </c>
      <c r="T61" s="1555">
        <f>S61/R61</f>
        <v>12912.7381390217</v>
      </c>
      <c r="U61" s="1556">
        <f>S61/S61</f>
        <v>1</v>
      </c>
      <c r="V61" s="1557">
        <v>2217</v>
      </c>
      <c r="W61" s="1558">
        <f>W10+W18+W24+W46+W39+W52+W59</f>
        <v>23583509</v>
      </c>
      <c r="X61" s="1555">
        <f>W61/V61</f>
        <v>10637.577356788453</v>
      </c>
      <c r="Y61" s="1556">
        <f>W61/W61</f>
        <v>1</v>
      </c>
      <c r="Z61" s="1559">
        <v>2360</v>
      </c>
      <c r="AA61" s="1560">
        <f>SUM(AA10+AA18+AA24+AA39+AA46+AA52+AA59)</f>
        <v>23299995</v>
      </c>
      <c r="AB61" s="1561">
        <f>AA61/Z61</f>
        <v>9872.8792372881362</v>
      </c>
      <c r="AC61" s="1560"/>
      <c r="AD61" s="1559">
        <v>2333</v>
      </c>
      <c r="AE61" s="1560">
        <f>SUM(AE10+AE18+AE24+AE39+AE46+AE52+AE59)</f>
        <v>22609648.470000003</v>
      </c>
      <c r="AF61" s="1561">
        <f>AE61/AD61</f>
        <v>9691.2338062580384</v>
      </c>
      <c r="AG61" s="1560"/>
      <c r="AH61" s="1559">
        <f>SUM(AH10+AH18+AH24+AH39+AH46+AH52+AH59)</f>
        <v>7432</v>
      </c>
      <c r="AI61" s="1562">
        <f>SUM(AI10+AI18+AI24+AI39+AI46+AI52+AI59)</f>
        <v>21732988.399999999</v>
      </c>
      <c r="AJ61" s="1563"/>
      <c r="AK61" s="1563"/>
      <c r="AL61" s="1563"/>
      <c r="AM61" s="1563"/>
      <c r="AN61" s="1563"/>
      <c r="AO61" s="1563"/>
      <c r="AP61" s="1563"/>
      <c r="AQ61" s="1563"/>
      <c r="AR61" s="1563"/>
      <c r="AS61" s="1563"/>
      <c r="AT61" s="1563"/>
      <c r="AU61" s="1563"/>
      <c r="AV61" s="1563"/>
      <c r="AW61" s="1563"/>
      <c r="AX61" s="1563"/>
      <c r="AY61" s="1563"/>
      <c r="AZ61" s="1563"/>
      <c r="BA61" s="1563"/>
      <c r="BB61" s="1563"/>
      <c r="BC61" s="1563"/>
      <c r="BD61" s="1563"/>
      <c r="BE61" s="1563"/>
      <c r="BF61" s="1563"/>
      <c r="BG61" s="1563"/>
      <c r="BH61" s="1563"/>
      <c r="BI61" s="1563"/>
      <c r="BJ61" s="1563"/>
      <c r="BK61" s="1563"/>
      <c r="BL61" s="1563"/>
      <c r="BM61" s="1563"/>
      <c r="BN61" s="1563"/>
      <c r="BO61" s="1563"/>
      <c r="BP61" s="1563"/>
      <c r="BQ61" s="1563"/>
      <c r="BR61" s="1563"/>
      <c r="BS61" s="1563"/>
      <c r="BT61" s="1563"/>
      <c r="BU61" s="1563"/>
      <c r="BV61" s="1563"/>
      <c r="BW61" s="1563"/>
      <c r="BX61" s="1563"/>
      <c r="BY61" s="1563"/>
      <c r="BZ61" s="1563"/>
      <c r="CA61" s="1563"/>
      <c r="CB61" s="1563"/>
      <c r="CC61" s="1563"/>
      <c r="CD61" s="1563"/>
      <c r="CE61" s="1563"/>
      <c r="CF61" s="1563"/>
      <c r="CG61" s="1563"/>
      <c r="CH61" s="1563"/>
      <c r="CI61" s="1563"/>
      <c r="CJ61" s="1563"/>
      <c r="CK61" s="1563"/>
      <c r="CL61" s="1563"/>
      <c r="CM61" s="1563"/>
      <c r="CN61" s="1563"/>
      <c r="CO61" s="1563"/>
      <c r="CP61" s="1563"/>
      <c r="CQ61" s="1563"/>
      <c r="CR61" s="1563"/>
      <c r="CS61" s="1563"/>
      <c r="CT61" s="1563"/>
      <c r="CU61" s="1563"/>
      <c r="CV61" s="1563"/>
      <c r="CW61" s="1563"/>
      <c r="CX61" s="1563"/>
      <c r="CY61" s="1563"/>
      <c r="CZ61" s="1563"/>
      <c r="DA61" s="1563"/>
      <c r="DB61" s="1563"/>
      <c r="DC61" s="1563"/>
      <c r="DD61" s="1563"/>
      <c r="DE61" s="1563"/>
      <c r="DF61" s="1563"/>
      <c r="DG61" s="1563"/>
      <c r="DH61" s="1563"/>
      <c r="DI61" s="1563"/>
      <c r="DJ61" s="1563"/>
      <c r="DK61" s="1563"/>
      <c r="DL61" s="1563"/>
      <c r="DM61" s="1563"/>
      <c r="DN61" s="1563"/>
      <c r="DO61" s="1563"/>
      <c r="DP61" s="1563"/>
      <c r="DQ61" s="1563"/>
      <c r="DR61" s="1563"/>
      <c r="DS61" s="1563"/>
      <c r="DT61" s="1563"/>
      <c r="DU61" s="1563"/>
      <c r="DV61" s="1563"/>
      <c r="DW61" s="1563"/>
      <c r="DX61" s="1563"/>
      <c r="DY61" s="1563"/>
      <c r="DZ61" s="1563"/>
      <c r="EA61" s="1563"/>
      <c r="EB61" s="1563"/>
      <c r="EC61" s="1563"/>
      <c r="ED61" s="1563"/>
      <c r="EE61" s="1563"/>
      <c r="EF61" s="1563"/>
      <c r="EG61" s="1563"/>
      <c r="EH61" s="1563"/>
      <c r="EI61" s="1563"/>
      <c r="EJ61" s="1563"/>
      <c r="EK61" s="1563"/>
      <c r="EL61" s="1563"/>
      <c r="EM61" s="1563"/>
      <c r="EN61" s="1563"/>
      <c r="EO61" s="1563"/>
      <c r="EP61" s="1563"/>
      <c r="EQ61" s="1563"/>
      <c r="ER61" s="1563"/>
      <c r="ES61" s="1563"/>
      <c r="ET61" s="1563"/>
      <c r="EU61" s="1563"/>
      <c r="EV61" s="1563"/>
      <c r="EW61" s="1563"/>
      <c r="EX61" s="1563"/>
      <c r="EY61" s="1563"/>
      <c r="EZ61" s="1563"/>
      <c r="FA61" s="1563"/>
      <c r="FB61" s="1563"/>
      <c r="FC61" s="1563"/>
      <c r="FD61" s="1563"/>
      <c r="FE61" s="1563"/>
      <c r="FF61" s="1563"/>
      <c r="FG61" s="1563"/>
      <c r="FH61" s="1563"/>
      <c r="FI61" s="1563"/>
      <c r="FJ61" s="1563"/>
      <c r="FK61" s="1563"/>
      <c r="FL61" s="1563"/>
      <c r="FM61" s="1563"/>
      <c r="FN61" s="1563"/>
      <c r="FO61" s="1563"/>
      <c r="FP61" s="1563"/>
      <c r="FQ61" s="1563"/>
      <c r="FR61" s="1563"/>
      <c r="FS61" s="1563"/>
      <c r="FT61" s="1563"/>
      <c r="FU61" s="1563"/>
      <c r="FV61" s="1563"/>
      <c r="FW61" s="1563"/>
      <c r="FX61" s="1563"/>
      <c r="FY61" s="1563"/>
      <c r="FZ61" s="1563"/>
      <c r="GA61" s="1563"/>
      <c r="GB61" s="1563"/>
      <c r="GC61" s="1563"/>
      <c r="GD61" s="1563"/>
      <c r="GE61" s="1563"/>
      <c r="GF61" s="1563"/>
      <c r="GG61" s="1563"/>
      <c r="GH61" s="1563"/>
      <c r="GI61" s="1563"/>
      <c r="GJ61" s="1563"/>
      <c r="GK61" s="1563"/>
      <c r="GL61" s="1563"/>
      <c r="GM61" s="1563"/>
      <c r="GN61" s="1563"/>
      <c r="GO61" s="1563"/>
      <c r="GP61" s="1563"/>
      <c r="GQ61" s="1563"/>
      <c r="GR61" s="1563"/>
      <c r="GS61" s="1563"/>
      <c r="GT61" s="1563"/>
      <c r="GU61" s="1563"/>
      <c r="GV61" s="1563"/>
      <c r="GW61" s="1563"/>
      <c r="GX61" s="1563"/>
      <c r="GY61" s="1563"/>
      <c r="GZ61" s="1563"/>
      <c r="HA61" s="1563"/>
      <c r="HB61" s="1563"/>
      <c r="HC61" s="1563"/>
      <c r="HD61" s="1563"/>
      <c r="HE61" s="1563"/>
      <c r="HF61" s="1563"/>
      <c r="HG61" s="1563"/>
      <c r="HH61" s="1563"/>
      <c r="HI61" s="1563"/>
      <c r="HJ61" s="1563"/>
      <c r="HK61" s="1563"/>
      <c r="HL61" s="1563"/>
      <c r="HM61" s="1563"/>
      <c r="HN61" s="1563"/>
      <c r="HO61" s="1563"/>
      <c r="HP61" s="1563"/>
      <c r="HQ61" s="1563"/>
      <c r="HR61" s="1563"/>
      <c r="HS61" s="1563"/>
      <c r="HT61" s="1563"/>
      <c r="HU61" s="1563"/>
      <c r="HV61" s="1563"/>
      <c r="HW61" s="1563"/>
      <c r="HX61" s="1563"/>
      <c r="HY61" s="1563"/>
      <c r="HZ61" s="1563"/>
      <c r="IA61" s="1563"/>
      <c r="IB61" s="1563"/>
      <c r="IC61" s="1563"/>
      <c r="ID61" s="1563"/>
      <c r="IE61" s="1563"/>
      <c r="IF61" s="1563"/>
      <c r="IG61" s="1563"/>
      <c r="IH61" s="1563"/>
      <c r="II61" s="1563"/>
      <c r="IJ61" s="1563"/>
      <c r="IK61" s="1563"/>
      <c r="IL61" s="1563"/>
      <c r="IM61" s="1563"/>
      <c r="IN61" s="1563"/>
      <c r="IO61" s="1563"/>
      <c r="IP61" s="1563"/>
      <c r="IQ61" s="1563"/>
      <c r="IR61" s="1563"/>
      <c r="IS61" s="1563"/>
      <c r="IT61" s="1563"/>
      <c r="IU61" s="1563"/>
      <c r="IV61" s="1563"/>
      <c r="IW61" s="1563"/>
      <c r="IX61" s="1563"/>
      <c r="IY61" s="1563"/>
      <c r="IZ61" s="1563"/>
      <c r="JA61" s="1563"/>
      <c r="JB61" s="1563"/>
      <c r="JC61" s="1563"/>
      <c r="JD61" s="1563"/>
      <c r="JE61" s="1563"/>
      <c r="JF61" s="1563"/>
      <c r="JG61" s="1563"/>
      <c r="JH61" s="1563"/>
      <c r="JI61" s="1563"/>
      <c r="JJ61" s="1563"/>
      <c r="JK61" s="1563"/>
      <c r="JL61" s="1563"/>
      <c r="JM61" s="1563"/>
      <c r="JN61" s="1563"/>
      <c r="JO61" s="1563"/>
      <c r="JP61" s="1563"/>
      <c r="JQ61" s="1563"/>
      <c r="JR61" s="1563"/>
      <c r="JS61" s="1563"/>
      <c r="JT61" s="1563"/>
      <c r="JU61" s="1563"/>
      <c r="JV61" s="1563"/>
      <c r="JW61" s="1563"/>
      <c r="JX61" s="1563"/>
      <c r="JY61" s="1563"/>
      <c r="JZ61" s="1563"/>
      <c r="KA61" s="1563"/>
      <c r="KB61" s="1563"/>
      <c r="KC61" s="1563"/>
      <c r="KD61" s="1563"/>
      <c r="KE61" s="1563"/>
      <c r="KF61" s="1563"/>
      <c r="KG61" s="1563"/>
      <c r="KH61" s="1563"/>
      <c r="KI61" s="1563"/>
      <c r="KJ61" s="1563"/>
      <c r="KK61" s="1563"/>
      <c r="KL61" s="1563"/>
      <c r="KM61" s="1563"/>
      <c r="KN61" s="1563"/>
      <c r="KO61" s="1563"/>
      <c r="KP61" s="1563"/>
      <c r="KQ61" s="1563"/>
      <c r="KR61" s="1563"/>
      <c r="KS61" s="1563"/>
      <c r="KT61" s="1563"/>
      <c r="KU61" s="1563"/>
      <c r="KV61" s="1563"/>
      <c r="KW61" s="1563"/>
      <c r="KX61" s="1563"/>
      <c r="KY61" s="1563"/>
      <c r="KZ61" s="1563"/>
      <c r="LA61" s="1563"/>
      <c r="LB61" s="1563"/>
      <c r="LC61" s="1563"/>
      <c r="LD61" s="1563"/>
      <c r="LE61" s="1563"/>
      <c r="LF61" s="1563"/>
      <c r="LG61" s="1563"/>
      <c r="LH61" s="1563"/>
      <c r="LI61" s="1563"/>
      <c r="LJ61" s="1563"/>
      <c r="LK61" s="1563"/>
      <c r="LL61" s="1563"/>
      <c r="LM61" s="1563"/>
      <c r="LN61" s="1563"/>
      <c r="LO61" s="1563"/>
      <c r="LP61" s="1563"/>
      <c r="LQ61" s="1563"/>
      <c r="LR61" s="1563"/>
      <c r="LS61" s="1563"/>
      <c r="LT61" s="1563"/>
      <c r="LU61" s="1563"/>
      <c r="LV61" s="1563"/>
      <c r="LW61" s="1563"/>
      <c r="LX61" s="1563"/>
      <c r="LY61" s="1563"/>
      <c r="LZ61" s="1563"/>
      <c r="MA61" s="1563"/>
      <c r="MB61" s="1563"/>
      <c r="MC61" s="1563"/>
      <c r="MD61" s="1563"/>
      <c r="ME61" s="1563"/>
      <c r="MF61" s="1563"/>
      <c r="MG61" s="1563"/>
      <c r="MH61" s="1563"/>
      <c r="MI61" s="1563"/>
      <c r="MJ61" s="1563"/>
      <c r="MK61" s="1563"/>
      <c r="ML61" s="1563"/>
      <c r="MM61" s="1563"/>
      <c r="MN61" s="1563"/>
      <c r="MO61" s="1563"/>
      <c r="MP61" s="1563"/>
      <c r="MQ61" s="1563"/>
      <c r="MR61" s="1563"/>
      <c r="MS61" s="1563"/>
      <c r="MT61" s="1563"/>
      <c r="MU61" s="1563"/>
      <c r="MV61" s="1563"/>
      <c r="MW61" s="1563"/>
      <c r="MX61" s="1563"/>
      <c r="MY61" s="1563"/>
      <c r="MZ61" s="1563"/>
      <c r="NA61" s="1563"/>
      <c r="NB61" s="1563"/>
      <c r="NC61" s="1563"/>
      <c r="ND61" s="1563"/>
      <c r="NE61" s="1563"/>
      <c r="NF61" s="1563"/>
      <c r="NG61" s="1563"/>
      <c r="NH61" s="1563"/>
      <c r="NI61" s="1563"/>
      <c r="NJ61" s="1563"/>
      <c r="NK61" s="1563"/>
      <c r="NL61" s="1563"/>
      <c r="NM61" s="1563"/>
      <c r="NN61" s="1563"/>
      <c r="NO61" s="1563"/>
      <c r="NP61" s="1563"/>
      <c r="NQ61" s="1563"/>
      <c r="NR61" s="1563"/>
      <c r="NS61" s="1563"/>
      <c r="NT61" s="1563"/>
      <c r="NU61" s="1563"/>
      <c r="NV61" s="1563"/>
      <c r="NW61" s="1563"/>
      <c r="NX61" s="1563"/>
      <c r="NY61" s="1563"/>
      <c r="NZ61" s="1563"/>
      <c r="OA61" s="1563"/>
      <c r="OB61" s="1563"/>
      <c r="OC61" s="1563"/>
      <c r="OD61" s="1563"/>
      <c r="OE61" s="1563"/>
      <c r="OF61" s="1563"/>
      <c r="OG61" s="1563"/>
      <c r="OH61" s="1563"/>
      <c r="OI61" s="1563"/>
      <c r="OJ61" s="1563"/>
      <c r="OK61" s="1563"/>
      <c r="OL61" s="1563"/>
      <c r="OM61" s="1563"/>
      <c r="ON61" s="1563"/>
      <c r="OO61" s="1563"/>
      <c r="OP61" s="1563"/>
      <c r="OQ61" s="1563"/>
      <c r="OR61" s="1563"/>
      <c r="OS61" s="1563"/>
      <c r="OT61" s="1563"/>
      <c r="OU61" s="1563"/>
      <c r="OV61" s="1563"/>
      <c r="OW61" s="1563"/>
      <c r="OX61" s="1563"/>
      <c r="OY61" s="1563"/>
      <c r="OZ61" s="1563"/>
      <c r="PA61" s="1563"/>
      <c r="PB61" s="1563"/>
      <c r="PC61" s="1563"/>
      <c r="PD61" s="1563"/>
      <c r="PE61" s="1563"/>
      <c r="PF61" s="1563"/>
      <c r="PG61" s="1563"/>
      <c r="PH61" s="1563"/>
      <c r="PI61" s="1563"/>
      <c r="PJ61" s="1563"/>
      <c r="PK61" s="1563"/>
      <c r="PL61" s="1563"/>
      <c r="PM61" s="1563"/>
      <c r="PN61" s="1563"/>
      <c r="PO61" s="1563"/>
      <c r="PP61" s="1563"/>
      <c r="PQ61" s="1563"/>
      <c r="PR61" s="1563"/>
      <c r="PS61" s="1563"/>
      <c r="PT61" s="1563"/>
      <c r="PU61" s="1563"/>
      <c r="PV61" s="1563"/>
      <c r="PW61" s="1563"/>
      <c r="PX61" s="1563"/>
      <c r="PY61" s="1563"/>
      <c r="PZ61" s="1563"/>
      <c r="QA61" s="1563"/>
      <c r="QB61" s="1563"/>
      <c r="QC61" s="1563"/>
      <c r="QD61" s="1563"/>
      <c r="QE61" s="1563"/>
      <c r="QF61" s="1563"/>
      <c r="QG61" s="1563"/>
      <c r="QH61" s="1563"/>
      <c r="QI61" s="1563"/>
      <c r="QJ61" s="1563"/>
      <c r="QK61" s="1563"/>
      <c r="QL61" s="1563"/>
      <c r="QM61" s="1563"/>
      <c r="QN61" s="1563"/>
      <c r="QO61" s="1563"/>
      <c r="QP61" s="1563"/>
      <c r="QQ61" s="1563"/>
      <c r="QR61" s="1563"/>
      <c r="QS61" s="1563"/>
      <c r="QT61" s="1563"/>
      <c r="QU61" s="1563"/>
      <c r="QV61" s="1563"/>
      <c r="QW61" s="1563"/>
      <c r="QX61" s="1563"/>
      <c r="QY61" s="1563"/>
      <c r="QZ61" s="1563"/>
      <c r="RA61" s="1563"/>
      <c r="RB61" s="1563"/>
      <c r="RC61" s="1563"/>
      <c r="RD61" s="1563"/>
      <c r="RE61" s="1563"/>
      <c r="RF61" s="1563"/>
      <c r="RG61" s="1563"/>
      <c r="RH61" s="1563"/>
      <c r="RI61" s="1563"/>
      <c r="RJ61" s="1563"/>
      <c r="RK61" s="1563"/>
      <c r="RL61" s="1563"/>
      <c r="RM61" s="1563"/>
      <c r="RN61" s="1563"/>
      <c r="RO61" s="1563"/>
      <c r="RP61" s="1563"/>
      <c r="RQ61" s="1563"/>
      <c r="RR61" s="1563"/>
      <c r="RS61" s="1563"/>
      <c r="RT61" s="1563"/>
      <c r="RU61" s="1563"/>
      <c r="RV61" s="1563"/>
      <c r="RW61" s="1563"/>
      <c r="RX61" s="1563"/>
      <c r="RY61" s="1563"/>
      <c r="RZ61" s="1563"/>
      <c r="SA61" s="1563"/>
      <c r="SB61" s="1563"/>
      <c r="SC61" s="1563"/>
      <c r="SD61" s="1563"/>
      <c r="SE61" s="1563"/>
      <c r="SF61" s="1563"/>
      <c r="SG61" s="1563"/>
      <c r="SH61" s="1563"/>
      <c r="SI61" s="1563"/>
      <c r="SJ61" s="1563"/>
      <c r="SK61" s="1563"/>
      <c r="SL61" s="1563"/>
      <c r="SM61" s="1563"/>
      <c r="SN61" s="1563"/>
      <c r="SO61" s="1563"/>
      <c r="SP61" s="1563"/>
      <c r="SQ61" s="1563"/>
      <c r="SR61" s="1563"/>
      <c r="SS61" s="1563"/>
      <c r="ST61" s="1563"/>
      <c r="SU61" s="1563"/>
      <c r="SV61" s="1563"/>
      <c r="SW61" s="1563"/>
      <c r="SX61" s="1563"/>
      <c r="SY61" s="1563"/>
      <c r="SZ61" s="1563"/>
      <c r="TA61" s="1563"/>
      <c r="TB61" s="1563"/>
      <c r="TC61" s="1563"/>
      <c r="TD61" s="1563"/>
      <c r="TE61" s="1563"/>
      <c r="TF61" s="1563"/>
      <c r="TG61" s="1563"/>
      <c r="TH61" s="1563"/>
      <c r="TI61" s="1563"/>
      <c r="TJ61" s="1563"/>
      <c r="TK61" s="1563"/>
      <c r="TL61" s="1563"/>
      <c r="TM61" s="1563"/>
      <c r="TN61" s="1563"/>
      <c r="TO61" s="1563"/>
      <c r="TP61" s="1563"/>
      <c r="TQ61" s="1563"/>
      <c r="TR61" s="1563"/>
      <c r="TS61" s="1563"/>
      <c r="TT61" s="1563"/>
      <c r="TU61" s="1563"/>
      <c r="TV61" s="1563"/>
      <c r="TW61" s="1563"/>
      <c r="TX61" s="1563"/>
      <c r="TY61" s="1563"/>
      <c r="TZ61" s="1563"/>
      <c r="UA61" s="1563"/>
      <c r="UB61" s="1563"/>
      <c r="UC61" s="1563"/>
      <c r="UD61" s="1563"/>
      <c r="UE61" s="1563"/>
      <c r="UF61" s="1563"/>
      <c r="UG61" s="1563"/>
      <c r="UH61" s="1563"/>
      <c r="UI61" s="1563"/>
      <c r="UJ61" s="1563"/>
      <c r="UK61" s="1563"/>
      <c r="UL61" s="1563"/>
      <c r="UM61" s="1563"/>
      <c r="UN61" s="1563"/>
      <c r="UO61" s="1563"/>
      <c r="UP61" s="1563"/>
      <c r="UQ61" s="1563"/>
      <c r="UR61" s="1563"/>
      <c r="US61" s="1563"/>
      <c r="UT61" s="1563"/>
      <c r="UU61" s="1563"/>
      <c r="UV61" s="1563"/>
      <c r="UW61" s="1563"/>
      <c r="UX61" s="1563"/>
      <c r="UY61" s="1563"/>
      <c r="UZ61" s="1563"/>
      <c r="VA61" s="1563"/>
      <c r="VB61" s="1563"/>
      <c r="VC61" s="1563"/>
      <c r="VD61" s="1563"/>
      <c r="VE61" s="1563"/>
      <c r="VF61" s="1563"/>
      <c r="VG61" s="1563"/>
      <c r="VH61" s="1563"/>
      <c r="VI61" s="1563"/>
      <c r="VJ61" s="1563"/>
      <c r="VK61" s="1563"/>
      <c r="VL61" s="1563"/>
      <c r="VM61" s="1563"/>
      <c r="VN61" s="1563"/>
      <c r="VO61" s="1563"/>
      <c r="VP61" s="1563"/>
      <c r="VQ61" s="1563"/>
      <c r="VR61" s="1563"/>
      <c r="VS61" s="1563"/>
      <c r="VT61" s="1563"/>
      <c r="VU61" s="1563"/>
      <c r="VV61" s="1563"/>
      <c r="VW61" s="1563"/>
      <c r="VX61" s="1563"/>
      <c r="VY61" s="1563"/>
      <c r="VZ61" s="1563"/>
      <c r="WA61" s="1563"/>
      <c r="WB61" s="1563"/>
      <c r="WC61" s="1563"/>
      <c r="WD61" s="1563"/>
      <c r="WE61" s="1563"/>
      <c r="WF61" s="1563"/>
      <c r="WG61" s="1563"/>
      <c r="WH61" s="1563"/>
      <c r="WI61" s="1563"/>
      <c r="WJ61" s="1563"/>
      <c r="WK61" s="1563"/>
      <c r="WL61" s="1563"/>
      <c r="WM61" s="1563"/>
      <c r="WN61" s="1563"/>
      <c r="WO61" s="1563"/>
      <c r="WP61" s="1563"/>
      <c r="WQ61" s="1563"/>
      <c r="WR61" s="1563"/>
      <c r="WS61" s="1563"/>
      <c r="WT61" s="1563"/>
      <c r="WU61" s="1563"/>
      <c r="WV61" s="1563"/>
      <c r="WW61" s="1563"/>
      <c r="WX61" s="1563"/>
      <c r="WY61" s="1563"/>
      <c r="WZ61" s="1563"/>
      <c r="XA61" s="1563"/>
      <c r="XB61" s="1563"/>
      <c r="XC61" s="1563"/>
      <c r="XD61" s="1563"/>
      <c r="XE61" s="1563"/>
      <c r="XF61" s="1563"/>
      <c r="XG61" s="1563"/>
      <c r="XH61" s="1563"/>
      <c r="XI61" s="1563"/>
      <c r="XJ61" s="1563"/>
      <c r="XK61" s="1563"/>
      <c r="XL61" s="1563"/>
      <c r="XM61" s="1563"/>
      <c r="XN61" s="1563"/>
      <c r="XO61" s="1563"/>
      <c r="XP61" s="1563"/>
      <c r="XQ61" s="1563"/>
      <c r="XR61" s="1563"/>
      <c r="XS61" s="1563"/>
      <c r="XT61" s="1563"/>
      <c r="XU61" s="1563"/>
      <c r="XV61" s="1563"/>
      <c r="XW61" s="1563"/>
      <c r="XX61" s="1563"/>
      <c r="XY61" s="1563"/>
      <c r="XZ61" s="1563"/>
      <c r="YA61" s="1563"/>
      <c r="YB61" s="1563"/>
      <c r="YC61" s="1563"/>
      <c r="YD61" s="1563"/>
      <c r="YE61" s="1563"/>
      <c r="YF61" s="1563"/>
      <c r="YG61" s="1563"/>
      <c r="YH61" s="1563"/>
      <c r="YI61" s="1563"/>
      <c r="YJ61" s="1563"/>
      <c r="YK61" s="1563"/>
      <c r="YL61" s="1563"/>
      <c r="YM61" s="1563"/>
      <c r="YN61" s="1563"/>
      <c r="YO61" s="1563"/>
      <c r="YP61" s="1563"/>
      <c r="YQ61" s="1563"/>
      <c r="YR61" s="1563"/>
      <c r="YS61" s="1563"/>
      <c r="YT61" s="1563"/>
      <c r="YU61" s="1563"/>
      <c r="YV61" s="1563"/>
      <c r="YW61" s="1563"/>
      <c r="YX61" s="1563"/>
      <c r="YY61" s="1563"/>
      <c r="YZ61" s="1563"/>
      <c r="ZA61" s="1563"/>
      <c r="ZB61" s="1563"/>
      <c r="ZC61" s="1563"/>
      <c r="ZD61" s="1563"/>
      <c r="ZE61" s="1563"/>
      <c r="ZF61" s="1563"/>
      <c r="ZG61" s="1563"/>
      <c r="ZH61" s="1563"/>
      <c r="ZI61" s="1563"/>
      <c r="ZJ61" s="1563"/>
      <c r="ZK61" s="1563"/>
      <c r="ZL61" s="1563"/>
      <c r="ZM61" s="1563"/>
      <c r="ZN61" s="1563"/>
      <c r="ZO61" s="1563"/>
      <c r="ZP61" s="1563"/>
      <c r="ZQ61" s="1563"/>
      <c r="ZR61" s="1563"/>
      <c r="ZS61" s="1563"/>
      <c r="ZT61" s="1563"/>
      <c r="ZU61" s="1563"/>
      <c r="ZV61" s="1563"/>
      <c r="ZW61" s="1563"/>
      <c r="ZX61" s="1563"/>
      <c r="ZY61" s="1563"/>
      <c r="ZZ61" s="1563"/>
      <c r="AAA61" s="1563"/>
      <c r="AAB61" s="1563"/>
      <c r="AAC61" s="1563"/>
      <c r="AAD61" s="1563"/>
      <c r="AAE61" s="1563"/>
      <c r="AAF61" s="1563"/>
      <c r="AAG61" s="1563"/>
      <c r="AAH61" s="1563"/>
      <c r="AAI61" s="1563"/>
      <c r="AAJ61" s="1563"/>
      <c r="AAK61" s="1563"/>
      <c r="AAL61" s="1563"/>
      <c r="AAM61" s="1563"/>
      <c r="AAN61" s="1563"/>
      <c r="AAO61" s="1563"/>
      <c r="AAP61" s="1563"/>
      <c r="AAQ61" s="1563"/>
      <c r="AAR61" s="1563"/>
      <c r="AAS61" s="1563"/>
      <c r="AAT61" s="1563"/>
      <c r="AAU61" s="1563"/>
      <c r="AAV61" s="1563"/>
      <c r="AAW61" s="1563"/>
      <c r="AAX61" s="1563"/>
      <c r="AAY61" s="1563"/>
      <c r="AAZ61" s="1563"/>
      <c r="ABA61" s="1563"/>
      <c r="ABB61" s="1563"/>
      <c r="ABC61" s="1563"/>
      <c r="ABD61" s="1563"/>
      <c r="ABE61" s="1563"/>
      <c r="ABF61" s="1563"/>
      <c r="ABG61" s="1563"/>
      <c r="ABH61" s="1563"/>
      <c r="ABI61" s="1563"/>
      <c r="ABJ61" s="1563"/>
      <c r="ABK61" s="1563"/>
      <c r="ABL61" s="1563"/>
      <c r="ABM61" s="1563"/>
      <c r="ABN61" s="1563"/>
      <c r="ABO61" s="1563"/>
      <c r="ABP61" s="1563"/>
      <c r="ABQ61" s="1563"/>
      <c r="ABR61" s="1563"/>
      <c r="ABS61" s="1563"/>
      <c r="ABT61" s="1563"/>
      <c r="ABU61" s="1563"/>
      <c r="ABV61" s="1563"/>
      <c r="ABW61" s="1563"/>
      <c r="ABX61" s="1563"/>
      <c r="ABY61" s="1563"/>
      <c r="ABZ61" s="1563"/>
      <c r="ACA61" s="1563"/>
      <c r="ACB61" s="1563"/>
      <c r="ACC61" s="1563"/>
      <c r="ACD61" s="1563"/>
      <c r="ACE61" s="1563"/>
      <c r="ACF61" s="1563"/>
      <c r="ACG61" s="1563"/>
      <c r="ACH61" s="1563"/>
      <c r="ACI61" s="1563"/>
      <c r="ACJ61" s="1563"/>
      <c r="ACK61" s="1563"/>
      <c r="ACL61" s="1563"/>
      <c r="ACM61" s="1563"/>
      <c r="ACN61" s="1563"/>
      <c r="ACO61" s="1563"/>
      <c r="ACP61" s="1563"/>
      <c r="ACQ61" s="1563"/>
      <c r="ACR61" s="1563"/>
      <c r="ACS61" s="1563"/>
      <c r="ACT61" s="1563"/>
      <c r="ACU61" s="1563"/>
      <c r="ACV61" s="1563"/>
      <c r="ACW61" s="1563"/>
      <c r="ACX61" s="1563"/>
      <c r="ACY61" s="1563"/>
      <c r="ACZ61" s="1563"/>
      <c r="ADA61" s="1563"/>
      <c r="ADB61" s="1563"/>
      <c r="ADC61" s="1563"/>
      <c r="ADD61" s="1563"/>
      <c r="ADE61" s="1563"/>
      <c r="ADF61" s="1563"/>
      <c r="ADG61" s="1563"/>
      <c r="ADH61" s="1563"/>
      <c r="ADI61" s="1563"/>
      <c r="ADJ61" s="1563"/>
      <c r="ADK61" s="1563"/>
      <c r="ADL61" s="1563"/>
      <c r="ADM61" s="1563"/>
      <c r="ADN61" s="1563"/>
      <c r="ADO61" s="1563"/>
      <c r="ADP61" s="1563"/>
      <c r="ADQ61" s="1563"/>
      <c r="ADR61" s="1563"/>
      <c r="ADS61" s="1563"/>
      <c r="ADT61" s="1563"/>
      <c r="ADU61" s="1563"/>
      <c r="ADV61" s="1563"/>
      <c r="ADW61" s="1563"/>
      <c r="ADX61" s="1563"/>
      <c r="ADY61" s="1563"/>
      <c r="ADZ61" s="1563"/>
      <c r="AEA61" s="1563"/>
      <c r="AEB61" s="1563"/>
      <c r="AEC61" s="1563"/>
      <c r="AED61" s="1563"/>
      <c r="AEE61" s="1563"/>
      <c r="AEF61" s="1563"/>
      <c r="AEG61" s="1563"/>
      <c r="AEH61" s="1563"/>
      <c r="AEI61" s="1563"/>
      <c r="AEJ61" s="1563"/>
      <c r="AEK61" s="1563"/>
      <c r="AEL61" s="1563"/>
      <c r="AEM61" s="1563"/>
      <c r="AEN61" s="1563"/>
      <c r="AEO61" s="1563"/>
      <c r="AEP61" s="1563"/>
      <c r="AEQ61" s="1563"/>
      <c r="AER61" s="1563"/>
      <c r="AES61" s="1563"/>
      <c r="AET61" s="1563"/>
      <c r="AEU61" s="1563"/>
      <c r="AEV61" s="1563"/>
      <c r="AEW61" s="1563"/>
      <c r="AEX61" s="1563"/>
      <c r="AEY61" s="1563"/>
      <c r="AEZ61" s="1563"/>
      <c r="AFA61" s="1563"/>
      <c r="AFB61" s="1563"/>
      <c r="AFC61" s="1563"/>
      <c r="AFD61" s="1563"/>
      <c r="AFE61" s="1563"/>
      <c r="AFF61" s="1563"/>
      <c r="AFG61" s="1563"/>
      <c r="AFH61" s="1563"/>
      <c r="AFI61" s="1563"/>
      <c r="AFJ61" s="1563"/>
      <c r="AFK61" s="1563"/>
      <c r="AFL61" s="1563"/>
      <c r="AFM61" s="1563"/>
      <c r="AFN61" s="1563"/>
      <c r="AFO61" s="1563"/>
      <c r="AFP61" s="1563"/>
      <c r="AFQ61" s="1563"/>
      <c r="AFR61" s="1563"/>
      <c r="AFS61" s="1563"/>
      <c r="AFT61" s="1563"/>
      <c r="AFU61" s="1563"/>
      <c r="AFV61" s="1563"/>
      <c r="AFW61" s="1563"/>
      <c r="AFX61" s="1563"/>
      <c r="AFY61" s="1563"/>
    </row>
    <row r="63" spans="1:857" x14ac:dyDescent="0.25">
      <c r="A63" s="1495" t="s">
        <v>1500</v>
      </c>
    </row>
    <row r="64" spans="1:857" x14ac:dyDescent="0.25">
      <c r="A64" s="1495" t="s">
        <v>1501</v>
      </c>
    </row>
    <row r="65" spans="1:21" x14ac:dyDescent="0.25">
      <c r="A65" s="1495" t="s">
        <v>1368</v>
      </c>
    </row>
    <row r="66" spans="1:21" x14ac:dyDescent="0.25">
      <c r="A66" s="1495" t="s">
        <v>1369</v>
      </c>
    </row>
    <row r="67" spans="1:21" x14ac:dyDescent="0.25">
      <c r="A67" s="1495" t="s">
        <v>1370</v>
      </c>
    </row>
    <row r="68" spans="1:21" x14ac:dyDescent="0.25">
      <c r="A68" s="1495" t="s">
        <v>1371</v>
      </c>
    </row>
    <row r="69" spans="1:21" x14ac:dyDescent="0.25">
      <c r="A69" s="1495" t="s">
        <v>1502</v>
      </c>
    </row>
    <row r="70" spans="1:21" x14ac:dyDescent="0.25">
      <c r="A70" s="1567" t="s">
        <v>1372</v>
      </c>
      <c r="B70" s="1567"/>
      <c r="C70" s="1567"/>
      <c r="D70" s="1567"/>
      <c r="E70" s="1567"/>
      <c r="F70" s="1567"/>
      <c r="G70" s="1567"/>
      <c r="H70" s="1567"/>
      <c r="I70" s="1567"/>
      <c r="J70" s="1567"/>
      <c r="K70" s="1567"/>
      <c r="L70" s="1567"/>
      <c r="M70" s="1567"/>
      <c r="N70" s="1567"/>
      <c r="O70" s="1567"/>
      <c r="P70" s="1567"/>
      <c r="Q70" s="1567"/>
      <c r="R70" s="1567"/>
      <c r="S70" s="1567"/>
      <c r="T70" s="1567"/>
      <c r="U70" s="1567"/>
    </row>
  </sheetData>
  <mergeCells count="44">
    <mergeCell ref="Z54:AA54"/>
    <mergeCell ref="F48:I48"/>
    <mergeCell ref="J48:M48"/>
    <mergeCell ref="N48:Q48"/>
    <mergeCell ref="R48:U48"/>
    <mergeCell ref="V48:W48"/>
    <mergeCell ref="Z48:AA48"/>
    <mergeCell ref="F54:I54"/>
    <mergeCell ref="J54:M54"/>
    <mergeCell ref="N54:Q54"/>
    <mergeCell ref="R54:U54"/>
    <mergeCell ref="V54:W54"/>
    <mergeCell ref="Z41:AA41"/>
    <mergeCell ref="F26:I26"/>
    <mergeCell ref="J26:M26"/>
    <mergeCell ref="N26:Q26"/>
    <mergeCell ref="R26:U26"/>
    <mergeCell ref="V26:W26"/>
    <mergeCell ref="Z26:AA26"/>
    <mergeCell ref="F41:I41"/>
    <mergeCell ref="J41:M41"/>
    <mergeCell ref="N41:Q41"/>
    <mergeCell ref="R41:U41"/>
    <mergeCell ref="V41:W41"/>
    <mergeCell ref="Z20:AA20"/>
    <mergeCell ref="Z3:AA3"/>
    <mergeCell ref="F12:I12"/>
    <mergeCell ref="J12:M12"/>
    <mergeCell ref="N12:Q12"/>
    <mergeCell ref="R12:U12"/>
    <mergeCell ref="V12:W12"/>
    <mergeCell ref="Z12:AA12"/>
    <mergeCell ref="F20:I20"/>
    <mergeCell ref="J20:M20"/>
    <mergeCell ref="N20:Q20"/>
    <mergeCell ref="R20:U20"/>
    <mergeCell ref="V20:W20"/>
    <mergeCell ref="A1:Y1"/>
    <mergeCell ref="F3:I3"/>
    <mergeCell ref="J3:M3"/>
    <mergeCell ref="N3:Q3"/>
    <mergeCell ref="R3:U3"/>
    <mergeCell ref="V3:W3"/>
    <mergeCell ref="B3:E3"/>
  </mergeCells>
  <printOptions horizontalCentered="1" verticalCentered="1" gridLines="1"/>
  <pageMargins left="0.23" right="0.54" top="0.5" bottom="0.37" header="0.36" footer="0.41"/>
  <pageSetup scale="72" orientation="landscape" r:id="rId1"/>
  <headerFooter alignWithMargins="0">
    <oddHeader>&amp;R&amp;D</oddHeader>
  </headerFooter>
  <colBreaks count="1" manualBreakCount="1">
    <brk id="35"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4"/>
  <dimension ref="A1:J44"/>
  <sheetViews>
    <sheetView workbookViewId="0">
      <selection sqref="A1:F1"/>
    </sheetView>
  </sheetViews>
  <sheetFormatPr defaultColWidth="6.6640625" defaultRowHeight="13.2" x14ac:dyDescent="0.25"/>
  <cols>
    <col min="1" max="1" width="24.6640625" style="24" customWidth="1"/>
    <col min="2" max="2" width="12.6640625" style="24" customWidth="1"/>
    <col min="3" max="3" width="16.109375" style="25" customWidth="1"/>
    <col min="4" max="4" width="12.6640625" style="24" customWidth="1"/>
    <col min="5" max="5" width="16.109375" style="25" customWidth="1"/>
    <col min="6" max="6" width="10.109375" style="24" customWidth="1"/>
    <col min="7" max="16384" width="6.6640625" style="24"/>
  </cols>
  <sheetData>
    <row r="1" spans="1:10" s="26" customFormat="1" ht="17.399999999999999" x14ac:dyDescent="0.3">
      <c r="A1" s="1695" t="s">
        <v>771</v>
      </c>
      <c r="B1" s="1695"/>
      <c r="C1" s="1695"/>
      <c r="D1" s="1695"/>
      <c r="E1" s="1695"/>
      <c r="F1" s="1695"/>
    </row>
    <row r="2" spans="1:10" s="26" customFormat="1" ht="18" thickBot="1" x14ac:dyDescent="0.35">
      <c r="A2" s="27"/>
      <c r="B2" s="27"/>
      <c r="C2" s="28"/>
      <c r="D2" s="27"/>
      <c r="E2" s="28"/>
      <c r="F2" s="27"/>
    </row>
    <row r="3" spans="1:10" x14ac:dyDescent="0.25">
      <c r="A3" s="29" t="s">
        <v>772</v>
      </c>
      <c r="B3" s="30" t="s">
        <v>773</v>
      </c>
      <c r="C3" s="31"/>
      <c r="D3" s="30" t="s">
        <v>775</v>
      </c>
      <c r="E3" s="32"/>
      <c r="F3" s="33" t="s">
        <v>776</v>
      </c>
      <c r="G3" s="34"/>
      <c r="H3" s="34"/>
      <c r="I3" s="34"/>
      <c r="J3" s="34"/>
    </row>
    <row r="4" spans="1:10" ht="13.8" thickBot="1" x14ac:dyDescent="0.3">
      <c r="A4" s="35" t="s">
        <v>777</v>
      </c>
      <c r="B4" s="36" t="s">
        <v>778</v>
      </c>
      <c r="C4" s="37" t="s">
        <v>779</v>
      </c>
      <c r="D4" s="36" t="s">
        <v>778</v>
      </c>
      <c r="E4" s="38" t="s">
        <v>779</v>
      </c>
      <c r="F4" s="39" t="s">
        <v>780</v>
      </c>
      <c r="G4" s="34"/>
      <c r="H4" s="34"/>
      <c r="I4" s="34"/>
      <c r="J4" s="34"/>
    </row>
    <row r="5" spans="1:10" hidden="1" x14ac:dyDescent="0.25">
      <c r="A5" s="413"/>
      <c r="B5" s="414"/>
      <c r="C5" s="415"/>
      <c r="D5" s="414"/>
      <c r="E5" s="416"/>
      <c r="F5" s="417"/>
      <c r="G5" s="34"/>
      <c r="H5" s="34"/>
      <c r="I5" s="34"/>
      <c r="J5" s="34"/>
    </row>
    <row r="6" spans="1:10" hidden="1" x14ac:dyDescent="0.25">
      <c r="A6" s="40">
        <v>2001</v>
      </c>
      <c r="B6" s="41">
        <v>526</v>
      </c>
      <c r="C6" s="42">
        <f>B6/F6</f>
        <v>0.36200963523743979</v>
      </c>
      <c r="D6" s="41">
        <v>927</v>
      </c>
      <c r="E6" s="43">
        <f>D6/F6</f>
        <v>0.63799036476256021</v>
      </c>
      <c r="F6" s="46">
        <f>SUM(B6,D6)</f>
        <v>1453</v>
      </c>
      <c r="G6" s="34"/>
      <c r="H6" s="34"/>
      <c r="I6" s="34"/>
      <c r="J6" s="34"/>
    </row>
    <row r="7" spans="1:10" x14ac:dyDescent="0.25">
      <c r="A7" s="449"/>
      <c r="B7" s="906"/>
      <c r="C7" s="415"/>
      <c r="D7" s="414"/>
      <c r="E7" s="907"/>
      <c r="F7" s="908"/>
      <c r="G7" s="34"/>
      <c r="H7" s="34"/>
      <c r="I7" s="34"/>
      <c r="J7" s="34"/>
    </row>
    <row r="8" spans="1:10" x14ac:dyDescent="0.25">
      <c r="A8" s="40">
        <v>2008</v>
      </c>
      <c r="B8" s="336">
        <v>610</v>
      </c>
      <c r="C8" s="337">
        <f>B8/F8</f>
        <v>0.28855250709555347</v>
      </c>
      <c r="D8" s="913">
        <v>1504</v>
      </c>
      <c r="E8" s="909">
        <f>D8/F8</f>
        <v>0.71144749290444653</v>
      </c>
      <c r="F8" s="910">
        <f>SUM(B8,D8)</f>
        <v>2114</v>
      </c>
      <c r="G8" s="34"/>
      <c r="H8" s="34"/>
      <c r="I8" s="34"/>
      <c r="J8" s="34"/>
    </row>
    <row r="9" spans="1:10" x14ac:dyDescent="0.25">
      <c r="A9" s="449"/>
      <c r="B9" s="906"/>
      <c r="C9" s="911"/>
      <c r="D9" s="912"/>
      <c r="E9" s="907"/>
      <c r="F9" s="908"/>
      <c r="G9" s="34"/>
      <c r="H9" s="34"/>
      <c r="I9" s="34"/>
      <c r="J9" s="34"/>
    </row>
    <row r="10" spans="1:10" x14ac:dyDescent="0.25">
      <c r="A10" s="40">
        <v>2009</v>
      </c>
      <c r="B10" s="336">
        <v>761</v>
      </c>
      <c r="C10" s="337">
        <f>B10/F10</f>
        <v>0.2867370007535795</v>
      </c>
      <c r="D10" s="913">
        <v>1893</v>
      </c>
      <c r="E10" s="909">
        <f>D10/F10</f>
        <v>0.71326299924642045</v>
      </c>
      <c r="F10" s="910">
        <f>SUM(B10,D10)</f>
        <v>2654</v>
      </c>
      <c r="G10" s="34"/>
      <c r="H10" s="34"/>
      <c r="I10" s="34"/>
      <c r="J10" s="34"/>
    </row>
    <row r="11" spans="1:10" x14ac:dyDescent="0.25">
      <c r="A11" s="449"/>
      <c r="B11" s="906"/>
      <c r="C11" s="911"/>
      <c r="D11" s="912"/>
      <c r="E11" s="907"/>
      <c r="F11" s="908"/>
      <c r="G11" s="34"/>
      <c r="H11" s="34"/>
      <c r="I11" s="34"/>
      <c r="J11" s="34"/>
    </row>
    <row r="12" spans="1:10" x14ac:dyDescent="0.25">
      <c r="A12" s="40">
        <v>2010</v>
      </c>
      <c r="B12" s="336">
        <v>849</v>
      </c>
      <c r="C12" s="337">
        <f>B12/F12</f>
        <v>0.29265770423991727</v>
      </c>
      <c r="D12" s="913">
        <v>2052</v>
      </c>
      <c r="E12" s="909">
        <f>D12/F12</f>
        <v>0.70734229576008278</v>
      </c>
      <c r="F12" s="910">
        <f>SUM(B12,D12)</f>
        <v>2901</v>
      </c>
      <c r="G12" s="34"/>
      <c r="H12" s="34"/>
      <c r="I12" s="34"/>
      <c r="J12" s="34"/>
    </row>
    <row r="13" spans="1:10" x14ac:dyDescent="0.25">
      <c r="A13" s="449"/>
      <c r="B13" s="906"/>
      <c r="C13" s="911"/>
      <c r="D13" s="912"/>
      <c r="E13" s="907"/>
      <c r="F13" s="908"/>
      <c r="G13" s="34"/>
      <c r="H13" s="34"/>
      <c r="I13" s="34"/>
      <c r="J13" s="34"/>
    </row>
    <row r="14" spans="1:10" x14ac:dyDescent="0.25">
      <c r="A14" s="40">
        <v>2011</v>
      </c>
      <c r="B14" s="336">
        <v>870</v>
      </c>
      <c r="C14" s="42">
        <f>B14/F14</f>
        <v>0.27281279397930386</v>
      </c>
      <c r="D14" s="41">
        <v>2319</v>
      </c>
      <c r="E14" s="909">
        <f>D14/F14</f>
        <v>0.7271872060206962</v>
      </c>
      <c r="F14" s="910">
        <f>SUM(B14,D14)</f>
        <v>3189</v>
      </c>
      <c r="G14" s="34"/>
      <c r="H14" s="34"/>
      <c r="I14" s="34"/>
      <c r="J14" s="34"/>
    </row>
    <row r="15" spans="1:10" x14ac:dyDescent="0.25">
      <c r="A15" s="449"/>
      <c r="B15" s="906"/>
      <c r="C15" s="911"/>
      <c r="D15" s="912"/>
      <c r="E15" s="907"/>
      <c r="F15" s="908"/>
      <c r="G15" s="34"/>
      <c r="H15" s="34"/>
      <c r="I15" s="34"/>
      <c r="J15" s="34"/>
    </row>
    <row r="16" spans="1:10" x14ac:dyDescent="0.25">
      <c r="A16" s="40">
        <v>2012</v>
      </c>
      <c r="B16" s="336">
        <v>883</v>
      </c>
      <c r="C16" s="42">
        <f>B16/F16</f>
        <v>0.26366079426694533</v>
      </c>
      <c r="D16" s="41">
        <v>2466</v>
      </c>
      <c r="E16" s="909">
        <f>D16/F16</f>
        <v>0.73633920573305467</v>
      </c>
      <c r="F16" s="910">
        <f>SUM(B16,D16)</f>
        <v>3349</v>
      </c>
      <c r="G16" s="34"/>
      <c r="H16" s="34"/>
      <c r="I16" s="34"/>
      <c r="J16" s="34"/>
    </row>
    <row r="17" spans="1:10" x14ac:dyDescent="0.25">
      <c r="A17" s="914" t="s">
        <v>772</v>
      </c>
      <c r="B17" s="1696" t="s">
        <v>773</v>
      </c>
      <c r="C17" s="1697"/>
      <c r="D17" s="1698" t="s">
        <v>775</v>
      </c>
      <c r="E17" s="1699"/>
      <c r="F17" s="915"/>
      <c r="G17" s="34"/>
      <c r="H17" s="34"/>
      <c r="I17" s="34"/>
      <c r="J17" s="34"/>
    </row>
    <row r="18" spans="1:10" ht="13.8" thickBot="1" x14ac:dyDescent="0.3">
      <c r="A18" s="1316" t="s">
        <v>781</v>
      </c>
      <c r="B18" s="48" t="s">
        <v>778</v>
      </c>
      <c r="C18" s="49" t="s">
        <v>779</v>
      </c>
      <c r="D18" s="48" t="s">
        <v>778</v>
      </c>
      <c r="E18" s="916" t="s">
        <v>779</v>
      </c>
      <c r="F18" s="917" t="s">
        <v>780</v>
      </c>
      <c r="G18" s="34"/>
      <c r="H18" s="34"/>
      <c r="I18" s="34"/>
      <c r="J18" s="34"/>
    </row>
    <row r="19" spans="1:10" x14ac:dyDescent="0.25">
      <c r="A19" s="458"/>
      <c r="B19" s="450"/>
      <c r="C19" s="451"/>
      <c r="D19" s="450"/>
      <c r="E19" s="918"/>
      <c r="F19" s="919"/>
      <c r="G19" s="34"/>
      <c r="H19" s="34"/>
      <c r="I19" s="34"/>
      <c r="J19" s="34"/>
    </row>
    <row r="20" spans="1:10" x14ac:dyDescent="0.25">
      <c r="A20" s="40">
        <v>2008</v>
      </c>
      <c r="B20" s="51">
        <v>273</v>
      </c>
      <c r="C20" s="52">
        <f>B20/F20</f>
        <v>0.28319502074688796</v>
      </c>
      <c r="D20" s="51">
        <v>691</v>
      </c>
      <c r="E20" s="920">
        <f>D20/F20</f>
        <v>0.71680497925311204</v>
      </c>
      <c r="F20" s="123">
        <f>SUM(B20,D20)</f>
        <v>964</v>
      </c>
      <c r="G20" s="34"/>
      <c r="H20" s="34"/>
      <c r="I20" s="34"/>
      <c r="J20" s="34"/>
    </row>
    <row r="21" spans="1:10" hidden="1" x14ac:dyDescent="0.25">
      <c r="A21" s="449"/>
      <c r="B21" s="450"/>
      <c r="C21" s="451"/>
      <c r="D21" s="450"/>
      <c r="E21" s="918"/>
      <c r="F21" s="908"/>
      <c r="G21" s="34"/>
      <c r="H21" s="34"/>
      <c r="I21" s="34"/>
      <c r="J21" s="34"/>
    </row>
    <row r="22" spans="1:10" hidden="1" x14ac:dyDescent="0.25">
      <c r="A22" s="40">
        <v>2003</v>
      </c>
      <c r="B22" s="51">
        <v>478</v>
      </c>
      <c r="C22" s="52">
        <f>B22/F22</f>
        <v>0.35381199111769057</v>
      </c>
      <c r="D22" s="51">
        <v>873</v>
      </c>
      <c r="E22" s="920">
        <f>D22/F22</f>
        <v>0.64618800888230943</v>
      </c>
      <c r="F22" s="123">
        <f>SUM(B22,D22)</f>
        <v>1351</v>
      </c>
      <c r="G22" s="34"/>
      <c r="H22" s="34"/>
      <c r="I22" s="34"/>
      <c r="J22" s="34"/>
    </row>
    <row r="23" spans="1:10" x14ac:dyDescent="0.25">
      <c r="A23" s="449"/>
      <c r="B23" s="450"/>
      <c r="C23" s="451"/>
      <c r="D23" s="450"/>
      <c r="E23" s="918"/>
      <c r="F23" s="908"/>
      <c r="G23" s="34"/>
      <c r="H23" s="34"/>
      <c r="I23" s="34"/>
      <c r="J23" s="34"/>
    </row>
    <row r="24" spans="1:10" x14ac:dyDescent="0.25">
      <c r="A24" s="40">
        <v>2009</v>
      </c>
      <c r="B24" s="51">
        <v>366</v>
      </c>
      <c r="C24" s="52">
        <f>B24/F24</f>
        <v>0.29373996789727125</v>
      </c>
      <c r="D24" s="51">
        <v>880</v>
      </c>
      <c r="E24" s="920">
        <f>D24/F24</f>
        <v>0.7062600321027287</v>
      </c>
      <c r="F24" s="123">
        <f>SUM(B24,D24)</f>
        <v>1246</v>
      </c>
      <c r="G24" s="34"/>
      <c r="H24" s="34"/>
      <c r="I24" s="34"/>
      <c r="J24" s="34"/>
    </row>
    <row r="25" spans="1:10" x14ac:dyDescent="0.25">
      <c r="A25" s="449"/>
      <c r="B25" s="450"/>
      <c r="C25" s="451"/>
      <c r="D25" s="450"/>
      <c r="E25" s="918"/>
      <c r="F25" s="908"/>
      <c r="G25" s="34"/>
      <c r="H25" s="34"/>
      <c r="I25" s="34"/>
      <c r="J25" s="34"/>
    </row>
    <row r="26" spans="1:10" x14ac:dyDescent="0.25">
      <c r="A26" s="40">
        <v>2010</v>
      </c>
      <c r="B26" s="51">
        <v>389</v>
      </c>
      <c r="C26" s="52">
        <f>B26/F26</f>
        <v>0.29492039423805916</v>
      </c>
      <c r="D26" s="51">
        <v>930</v>
      </c>
      <c r="E26" s="920">
        <f>D26/F26</f>
        <v>0.70507960576194084</v>
      </c>
      <c r="F26" s="123">
        <f>SUM(B26,D26)</f>
        <v>1319</v>
      </c>
      <c r="G26" s="34"/>
      <c r="H26" s="34"/>
      <c r="I26" s="34"/>
      <c r="J26" s="34"/>
    </row>
    <row r="27" spans="1:10" x14ac:dyDescent="0.25">
      <c r="A27" s="449"/>
      <c r="B27" s="450"/>
      <c r="C27" s="451"/>
      <c r="D27" s="450"/>
      <c r="E27" s="918"/>
      <c r="F27" s="908"/>
      <c r="G27" s="34"/>
      <c r="H27" s="34"/>
      <c r="I27" s="34"/>
      <c r="J27" s="34"/>
    </row>
    <row r="28" spans="1:10" x14ac:dyDescent="0.25">
      <c r="A28" s="40">
        <v>2011</v>
      </c>
      <c r="B28" s="51">
        <v>368</v>
      </c>
      <c r="C28" s="52">
        <f>B28/F28</f>
        <v>0.27299703264094954</v>
      </c>
      <c r="D28" s="51">
        <v>980</v>
      </c>
      <c r="E28" s="920">
        <f>D28/F28</f>
        <v>0.72700296735905046</v>
      </c>
      <c r="F28" s="123">
        <f>SUM(B28,D28)</f>
        <v>1348</v>
      </c>
      <c r="G28" s="34"/>
      <c r="H28" s="34"/>
      <c r="I28" s="34"/>
      <c r="J28" s="34"/>
    </row>
    <row r="29" spans="1:10" x14ac:dyDescent="0.25">
      <c r="A29" s="449"/>
      <c r="B29" s="450"/>
      <c r="C29" s="451"/>
      <c r="D29" s="450"/>
      <c r="E29" s="918"/>
      <c r="F29" s="908"/>
      <c r="G29" s="34"/>
      <c r="H29" s="34"/>
      <c r="I29" s="34"/>
      <c r="J29" s="34"/>
    </row>
    <row r="30" spans="1:10" x14ac:dyDescent="0.25">
      <c r="A30" s="40">
        <v>2012</v>
      </c>
      <c r="B30" s="51">
        <v>366</v>
      </c>
      <c r="C30" s="52">
        <f>B30/F30</f>
        <v>0.25920679886685555</v>
      </c>
      <c r="D30" s="51">
        <v>1046</v>
      </c>
      <c r="E30" s="920">
        <f>D30/F30</f>
        <v>0.74079320113314451</v>
      </c>
      <c r="F30" s="123">
        <f>SUM(B30,D30)</f>
        <v>1412</v>
      </c>
      <c r="G30" s="34"/>
      <c r="H30" s="34"/>
      <c r="I30" s="34"/>
      <c r="J30" s="34"/>
    </row>
    <row r="31" spans="1:10" x14ac:dyDescent="0.25">
      <c r="A31" s="914" t="s">
        <v>772</v>
      </c>
      <c r="B31" s="1696" t="s">
        <v>773</v>
      </c>
      <c r="C31" s="1697"/>
      <c r="D31" s="1698" t="s">
        <v>775</v>
      </c>
      <c r="E31" s="1699"/>
      <c r="F31" s="40"/>
      <c r="G31" s="34"/>
      <c r="H31" s="34"/>
      <c r="I31" s="34"/>
      <c r="J31" s="34"/>
    </row>
    <row r="32" spans="1:10" ht="13.8" thickBot="1" x14ac:dyDescent="0.3">
      <c r="A32" s="1316" t="s">
        <v>782</v>
      </c>
      <c r="B32" s="48" t="s">
        <v>778</v>
      </c>
      <c r="C32" s="49" t="s">
        <v>779</v>
      </c>
      <c r="D32" s="48" t="s">
        <v>778</v>
      </c>
      <c r="E32" s="916" t="s">
        <v>779</v>
      </c>
      <c r="F32" s="917" t="s">
        <v>780</v>
      </c>
      <c r="G32" s="34"/>
      <c r="H32" s="34"/>
      <c r="I32" s="34"/>
      <c r="J32" s="34"/>
    </row>
    <row r="33" spans="1:10" x14ac:dyDescent="0.25">
      <c r="A33" s="458"/>
      <c r="B33" s="921"/>
      <c r="C33" s="415"/>
      <c r="D33" s="414"/>
      <c r="E33" s="907"/>
      <c r="F33" s="919"/>
      <c r="G33" s="34"/>
      <c r="H33" s="34"/>
      <c r="I33" s="34"/>
      <c r="J33" s="34"/>
    </row>
    <row r="34" spans="1:10" x14ac:dyDescent="0.25">
      <c r="A34" s="40">
        <v>2008</v>
      </c>
      <c r="B34" s="336">
        <v>156</v>
      </c>
      <c r="C34" s="337">
        <f>B34/F34</f>
        <v>0.2810810810810811</v>
      </c>
      <c r="D34" s="913">
        <v>399</v>
      </c>
      <c r="E34" s="922">
        <f>D34/F34</f>
        <v>0.7189189189189189</v>
      </c>
      <c r="F34" s="123">
        <f>SUM(B34,D34)</f>
        <v>555</v>
      </c>
      <c r="G34" s="34"/>
      <c r="H34" s="34"/>
      <c r="I34" s="34"/>
      <c r="J34" s="34"/>
    </row>
    <row r="35" spans="1:10" hidden="1" x14ac:dyDescent="0.25">
      <c r="A35" s="449"/>
      <c r="B35" s="906"/>
      <c r="C35" s="415"/>
      <c r="D35" s="414"/>
      <c r="E35" s="907"/>
      <c r="F35" s="908"/>
      <c r="G35" s="34"/>
      <c r="H35" s="34"/>
      <c r="I35" s="34"/>
      <c r="J35" s="34"/>
    </row>
    <row r="36" spans="1:10" hidden="1" x14ac:dyDescent="0.25">
      <c r="A36" s="40">
        <v>2003</v>
      </c>
      <c r="B36" s="336">
        <v>190</v>
      </c>
      <c r="C36" s="42">
        <f>B36/F36</f>
        <v>0.34734917733089582</v>
      </c>
      <c r="D36" s="41">
        <v>357</v>
      </c>
      <c r="E36" s="922">
        <f>D36/F36</f>
        <v>0.65265082266910424</v>
      </c>
      <c r="F36" s="123">
        <f>SUM(B36,D36)</f>
        <v>547</v>
      </c>
      <c r="G36" s="34"/>
      <c r="H36" s="34"/>
      <c r="I36" s="34"/>
      <c r="J36" s="34"/>
    </row>
    <row r="37" spans="1:10" x14ac:dyDescent="0.25">
      <c r="A37" s="449"/>
      <c r="B37" s="906"/>
      <c r="C37" s="911"/>
      <c r="D37" s="912"/>
      <c r="E37" s="907"/>
      <c r="F37" s="908"/>
      <c r="G37" s="34"/>
      <c r="H37" s="34"/>
      <c r="I37" s="34"/>
      <c r="J37" s="34"/>
    </row>
    <row r="38" spans="1:10" x14ac:dyDescent="0.25">
      <c r="A38" s="40">
        <v>2009</v>
      </c>
      <c r="B38" s="336">
        <v>176</v>
      </c>
      <c r="C38" s="337">
        <f>B38/F38</f>
        <v>0.30240549828178692</v>
      </c>
      <c r="D38" s="913">
        <v>406</v>
      </c>
      <c r="E38" s="922">
        <f>D38/F38</f>
        <v>0.69759450171821302</v>
      </c>
      <c r="F38" s="123">
        <f>SUM(B38,D38)</f>
        <v>582</v>
      </c>
      <c r="G38" s="34"/>
      <c r="H38" s="34"/>
      <c r="I38" s="34"/>
      <c r="J38" s="34"/>
    </row>
    <row r="39" spans="1:10" x14ac:dyDescent="0.25">
      <c r="A39" s="449"/>
      <c r="B39" s="906"/>
      <c r="C39" s="911"/>
      <c r="D39" s="912"/>
      <c r="E39" s="907"/>
      <c r="F39" s="908"/>
    </row>
    <row r="40" spans="1:10" s="34" customFormat="1" x14ac:dyDescent="0.25">
      <c r="A40" s="40">
        <v>2010</v>
      </c>
      <c r="B40" s="336">
        <v>210</v>
      </c>
      <c r="C40" s="337">
        <f>B40/F40</f>
        <v>0.30612244897959184</v>
      </c>
      <c r="D40" s="913">
        <v>476</v>
      </c>
      <c r="E40" s="922">
        <f>D40/F40</f>
        <v>0.69387755102040816</v>
      </c>
      <c r="F40" s="123">
        <f>SUM(B40,D40)</f>
        <v>686</v>
      </c>
    </row>
    <row r="41" spans="1:10" x14ac:dyDescent="0.25">
      <c r="A41" s="449"/>
      <c r="B41" s="906"/>
      <c r="C41" s="911"/>
      <c r="D41" s="912"/>
      <c r="E41" s="907"/>
      <c r="F41" s="908"/>
    </row>
    <row r="42" spans="1:10" ht="13.8" thickBot="1" x14ac:dyDescent="0.3">
      <c r="A42" s="56">
        <v>2011</v>
      </c>
      <c r="B42" s="923">
        <v>168</v>
      </c>
      <c r="C42" s="58">
        <f>B42/F42</f>
        <v>0.28235294117647058</v>
      </c>
      <c r="D42" s="57">
        <v>427</v>
      </c>
      <c r="E42" s="924">
        <f>D42/F42</f>
        <v>0.71764705882352942</v>
      </c>
      <c r="F42" s="925">
        <f>SUM(B42,D42)</f>
        <v>595</v>
      </c>
    </row>
    <row r="43" spans="1:10" x14ac:dyDescent="0.25">
      <c r="A43" s="449"/>
      <c r="B43" s="906"/>
      <c r="C43" s="911"/>
      <c r="D43" s="912"/>
      <c r="E43" s="907"/>
      <c r="F43" s="908"/>
    </row>
    <row r="44" spans="1:10" ht="13.8" thickBot="1" x14ac:dyDescent="0.3">
      <c r="A44" s="56">
        <v>2012</v>
      </c>
      <c r="B44" s="923">
        <v>155</v>
      </c>
      <c r="C44" s="58">
        <f>B44/F44</f>
        <v>0.27240773286467485</v>
      </c>
      <c r="D44" s="57">
        <v>414</v>
      </c>
      <c r="E44" s="924">
        <f>D44/F44</f>
        <v>0.7275922671353251</v>
      </c>
      <c r="F44" s="925">
        <f>SUM(B44,D44)</f>
        <v>569</v>
      </c>
    </row>
  </sheetData>
  <mergeCells count="5">
    <mergeCell ref="A1:F1"/>
    <mergeCell ref="B17:C17"/>
    <mergeCell ref="D17:E17"/>
    <mergeCell ref="B31:C31"/>
    <mergeCell ref="D31:E31"/>
  </mergeCells>
  <phoneticPr fontId="15" type="noConversion"/>
  <printOptions horizontalCentered="1" verticalCentered="1"/>
  <pageMargins left="0.75" right="0.75" top="0" bottom="0.05" header="0.25" footer="0.25"/>
  <pageSetup scale="84" orientation="portrait" r:id="rId1"/>
  <headerFooter alignWithMargins="0">
    <oddFooter>&amp;LSource: Office of Admissions</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8"/>
  <sheetViews>
    <sheetView workbookViewId="0">
      <selection activeCell="H10" sqref="H10"/>
    </sheetView>
  </sheetViews>
  <sheetFormatPr defaultRowHeight="13.2" x14ac:dyDescent="0.25"/>
  <cols>
    <col min="1" max="5" width="13.44140625" customWidth="1"/>
    <col min="6" max="6" width="7.5546875" bestFit="1" customWidth="1"/>
    <col min="7" max="7" width="12.44140625" bestFit="1" customWidth="1"/>
    <col min="8" max="8" width="12.88671875" customWidth="1"/>
    <col min="9" max="9" width="4.5546875" customWidth="1"/>
  </cols>
  <sheetData>
    <row r="3" spans="1:7" ht="18" x14ac:dyDescent="0.35">
      <c r="A3" s="1817" t="s">
        <v>1627</v>
      </c>
      <c r="B3" s="1817"/>
      <c r="C3" s="1817"/>
      <c r="D3" s="1817"/>
      <c r="E3" s="1817"/>
      <c r="F3" s="1817"/>
    </row>
    <row r="4" spans="1:7" x14ac:dyDescent="0.25">
      <c r="E4" t="s">
        <v>776</v>
      </c>
    </row>
    <row r="5" spans="1:7" s="1570" customFormat="1" ht="14.4" x14ac:dyDescent="0.3">
      <c r="A5" s="1568" t="s">
        <v>1363</v>
      </c>
      <c r="B5" s="1568" t="s">
        <v>1388</v>
      </c>
      <c r="C5" s="1568" t="s">
        <v>1389</v>
      </c>
      <c r="D5" s="1568" t="s">
        <v>1377</v>
      </c>
      <c r="E5" s="1522" t="s">
        <v>1503</v>
      </c>
      <c r="F5" s="1569" t="s">
        <v>1628</v>
      </c>
    </row>
    <row r="6" spans="1:7" x14ac:dyDescent="0.25">
      <c r="A6" s="1571">
        <v>28398102</v>
      </c>
      <c r="B6" s="1571">
        <v>35109735</v>
      </c>
      <c r="C6" s="1571">
        <v>39286756</v>
      </c>
      <c r="D6" s="1571">
        <v>40513537</v>
      </c>
      <c r="E6" s="1571">
        <v>39893793</v>
      </c>
      <c r="F6" s="1572"/>
      <c r="G6" s="1573"/>
    </row>
    <row r="7" spans="1:7" ht="14.4" x14ac:dyDescent="0.3">
      <c r="A7" s="1568" t="s">
        <v>1629</v>
      </c>
      <c r="B7" s="1574">
        <f>(B6-A6)/A6</f>
        <v>0.23634090052919735</v>
      </c>
      <c r="C7" s="1574">
        <f>(C6-B6)/B6</f>
        <v>0.11897045078807915</v>
      </c>
      <c r="D7" s="1574">
        <f>(D6-C6)/C6</f>
        <v>3.122632471869146E-2</v>
      </c>
      <c r="E7" s="1574">
        <f>(E6-D6)/D6</f>
        <v>-1.529720794311294E-2</v>
      </c>
      <c r="F7" s="1575">
        <f>(E6-A6)/A6</f>
        <v>0.40480490562362231</v>
      </c>
      <c r="G7" s="1576"/>
    </row>
    <row r="8" spans="1:7" ht="14.4" x14ac:dyDescent="0.3">
      <c r="A8" s="1577"/>
    </row>
  </sheetData>
  <mergeCells count="1">
    <mergeCell ref="A3:F3"/>
  </mergeCells>
  <printOptions gridLines="1"/>
  <pageMargins left="0.7" right="0.7" top="0.75" bottom="0.75" header="0.3" footer="0.3"/>
  <pageSetup orientation="landscape"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5"/>
  <sheetViews>
    <sheetView workbookViewId="0"/>
  </sheetViews>
  <sheetFormatPr defaultColWidth="6.6640625" defaultRowHeight="13.2" x14ac:dyDescent="0.25"/>
  <cols>
    <col min="1" max="1" width="54.5546875" style="1434" customWidth="1"/>
    <col min="2" max="2" width="15.33203125" style="1434" customWidth="1"/>
    <col min="3" max="3" width="13.6640625" style="1434" customWidth="1"/>
    <col min="4" max="16384" width="6.6640625" style="1434"/>
  </cols>
  <sheetData>
    <row r="1" spans="1:3" ht="17.399999999999999" x14ac:dyDescent="0.25">
      <c r="A1" s="1607" t="s">
        <v>1</v>
      </c>
      <c r="B1" s="1607"/>
      <c r="C1" s="1607"/>
    </row>
    <row r="2" spans="1:3" ht="17.399999999999999" x14ac:dyDescent="0.25">
      <c r="A2" s="1607" t="s">
        <v>1636</v>
      </c>
      <c r="B2" s="1607"/>
      <c r="C2" s="1607"/>
    </row>
    <row r="3" spans="1:3" ht="17.399999999999999" x14ac:dyDescent="0.25">
      <c r="A3" s="1607" t="s">
        <v>1637</v>
      </c>
      <c r="B3" s="1607"/>
      <c r="C3" s="1607"/>
    </row>
    <row r="4" spans="1:3" x14ac:dyDescent="0.25">
      <c r="A4" s="1589"/>
      <c r="B4" s="1608"/>
      <c r="C4" s="1608"/>
    </row>
    <row r="5" spans="1:3" x14ac:dyDescent="0.25">
      <c r="A5" s="1579" t="s">
        <v>589</v>
      </c>
      <c r="B5" s="1579"/>
      <c r="C5" s="1579"/>
    </row>
    <row r="6" spans="1:3" x14ac:dyDescent="0.25">
      <c r="A6" s="1579" t="s">
        <v>2</v>
      </c>
      <c r="B6" s="1579"/>
      <c r="C6" s="1579"/>
    </row>
    <row r="7" spans="1:3" x14ac:dyDescent="0.25">
      <c r="A7" s="1579" t="s">
        <v>1638</v>
      </c>
      <c r="B7" s="1579"/>
      <c r="C7" s="1658">
        <v>16046198</v>
      </c>
    </row>
    <row r="8" spans="1:3" x14ac:dyDescent="0.25">
      <c r="A8" s="1579" t="s">
        <v>590</v>
      </c>
      <c r="B8" s="1659"/>
      <c r="C8" s="1660">
        <v>417284</v>
      </c>
    </row>
    <row r="9" spans="1:3" x14ac:dyDescent="0.25">
      <c r="A9" s="1579" t="s">
        <v>591</v>
      </c>
      <c r="B9" s="1659"/>
      <c r="C9" s="1660">
        <v>6704486</v>
      </c>
    </row>
    <row r="10" spans="1:3" x14ac:dyDescent="0.25">
      <c r="A10" s="1579" t="s">
        <v>592</v>
      </c>
      <c r="B10" s="1659"/>
      <c r="C10" s="1660">
        <v>90166</v>
      </c>
    </row>
    <row r="11" spans="1:3" x14ac:dyDescent="0.25">
      <c r="A11" s="1579" t="s">
        <v>3</v>
      </c>
      <c r="B11" s="1659"/>
      <c r="C11" s="1660">
        <v>470610</v>
      </c>
    </row>
    <row r="12" spans="1:3" x14ac:dyDescent="0.25">
      <c r="A12" s="1579" t="s">
        <v>1639</v>
      </c>
      <c r="B12" s="1659"/>
      <c r="C12" s="1660">
        <v>11884135</v>
      </c>
    </row>
    <row r="13" spans="1:3" x14ac:dyDescent="0.25">
      <c r="A13" s="1579" t="s">
        <v>1640</v>
      </c>
      <c r="B13" s="1659"/>
      <c r="C13" s="1660">
        <v>313615</v>
      </c>
    </row>
    <row r="14" spans="1:3" x14ac:dyDescent="0.25">
      <c r="A14" s="1579" t="s">
        <v>4</v>
      </c>
      <c r="B14" s="1659"/>
      <c r="C14" s="1660">
        <f>SUM(C7:C13)</f>
        <v>35926494</v>
      </c>
    </row>
    <row r="15" spans="1:3" x14ac:dyDescent="0.25">
      <c r="A15" s="1579"/>
      <c r="B15" s="1659"/>
      <c r="C15" s="1660"/>
    </row>
    <row r="16" spans="1:3" x14ac:dyDescent="0.25">
      <c r="A16" s="1579" t="s">
        <v>5</v>
      </c>
      <c r="B16" s="1659"/>
      <c r="C16" s="1660"/>
    </row>
    <row r="17" spans="1:3" x14ac:dyDescent="0.25">
      <c r="A17" s="1579" t="s">
        <v>6</v>
      </c>
      <c r="B17" s="1659"/>
      <c r="C17" s="1660"/>
    </row>
    <row r="18" spans="1:3" x14ac:dyDescent="0.25">
      <c r="A18" s="1579" t="s">
        <v>1259</v>
      </c>
      <c r="B18" s="1659"/>
      <c r="C18" s="1660">
        <v>21620189</v>
      </c>
    </row>
    <row r="19" spans="1:3" x14ac:dyDescent="0.25">
      <c r="A19" s="1608" t="s">
        <v>1258</v>
      </c>
      <c r="B19" s="1659"/>
      <c r="C19" s="1660">
        <v>6809636</v>
      </c>
    </row>
    <row r="20" spans="1:3" x14ac:dyDescent="0.25">
      <c r="A20" s="1579" t="s">
        <v>7</v>
      </c>
      <c r="B20" s="1659"/>
      <c r="C20" s="1660">
        <v>15531517</v>
      </c>
    </row>
    <row r="21" spans="1:3" x14ac:dyDescent="0.25">
      <c r="A21" s="1579" t="s">
        <v>8</v>
      </c>
      <c r="B21" s="1659"/>
      <c r="C21" s="1658">
        <v>3013651</v>
      </c>
    </row>
    <row r="22" spans="1:3" x14ac:dyDescent="0.25">
      <c r="A22" s="1579" t="s">
        <v>9</v>
      </c>
      <c r="B22" s="1659"/>
      <c r="C22" s="1660">
        <v>3076719</v>
      </c>
    </row>
    <row r="23" spans="1:3" x14ac:dyDescent="0.25">
      <c r="A23" s="1579" t="s">
        <v>10</v>
      </c>
      <c r="B23" s="1659"/>
      <c r="C23" s="1660">
        <f>SUM(C18:C22)</f>
        <v>50051712</v>
      </c>
    </row>
    <row r="24" spans="1:3" x14ac:dyDescent="0.25">
      <c r="A24" s="1579" t="s">
        <v>776</v>
      </c>
      <c r="B24" s="1659"/>
      <c r="C24" s="1660"/>
    </row>
    <row r="25" spans="1:3" x14ac:dyDescent="0.25">
      <c r="A25" s="1579" t="s">
        <v>454</v>
      </c>
      <c r="B25" s="1659"/>
      <c r="C25" s="1660">
        <f>C14-C23</f>
        <v>-14125218</v>
      </c>
    </row>
    <row r="26" spans="1:3" x14ac:dyDescent="0.25">
      <c r="A26" s="1579" t="s">
        <v>776</v>
      </c>
      <c r="B26" s="1659"/>
      <c r="C26" s="1660"/>
    </row>
    <row r="27" spans="1:3" x14ac:dyDescent="0.25">
      <c r="A27" s="1579" t="s">
        <v>455</v>
      </c>
      <c r="B27" s="1659"/>
      <c r="C27" s="1660"/>
    </row>
    <row r="28" spans="1:3" x14ac:dyDescent="0.25">
      <c r="A28" s="1579" t="s">
        <v>456</v>
      </c>
      <c r="B28" s="1659"/>
      <c r="C28" s="1660">
        <v>6812873</v>
      </c>
    </row>
    <row r="29" spans="1:3" x14ac:dyDescent="0.25">
      <c r="A29" s="1579" t="s">
        <v>1641</v>
      </c>
      <c r="B29" s="1659"/>
      <c r="C29" s="1660">
        <v>6634080</v>
      </c>
    </row>
    <row r="30" spans="1:3" x14ac:dyDescent="0.25">
      <c r="A30" s="1579" t="s">
        <v>457</v>
      </c>
      <c r="B30" s="1659"/>
      <c r="C30" s="1660">
        <v>691084</v>
      </c>
    </row>
    <row r="31" spans="1:3" x14ac:dyDescent="0.25">
      <c r="A31" s="1579" t="s">
        <v>459</v>
      </c>
      <c r="B31" s="1659"/>
      <c r="C31" s="1660">
        <v>29997</v>
      </c>
    </row>
    <row r="32" spans="1:3" x14ac:dyDescent="0.25">
      <c r="A32" s="1579" t="s">
        <v>1642</v>
      </c>
      <c r="B32" s="1659"/>
      <c r="C32" s="1660">
        <v>-75597</v>
      </c>
    </row>
    <row r="33" spans="1:3" x14ac:dyDescent="0.25">
      <c r="A33" s="1579" t="s">
        <v>460</v>
      </c>
      <c r="B33" s="1659"/>
      <c r="C33" s="1660">
        <v>-640940</v>
      </c>
    </row>
    <row r="34" spans="1:3" x14ac:dyDescent="0.25">
      <c r="A34" s="1579" t="s">
        <v>462</v>
      </c>
      <c r="B34" s="1661"/>
      <c r="C34" s="1660">
        <f>SUM(C28:C33)</f>
        <v>13451497</v>
      </c>
    </row>
    <row r="35" spans="1:3" x14ac:dyDescent="0.25">
      <c r="A35" s="1579" t="s">
        <v>776</v>
      </c>
      <c r="B35" s="1661"/>
      <c r="C35" s="1660"/>
    </row>
    <row r="36" spans="1:3" x14ac:dyDescent="0.25">
      <c r="A36" s="1579" t="s">
        <v>776</v>
      </c>
      <c r="B36" s="1661"/>
      <c r="C36" s="1660"/>
    </row>
    <row r="37" spans="1:3" x14ac:dyDescent="0.25">
      <c r="A37" s="1579" t="s">
        <v>463</v>
      </c>
      <c r="B37" s="1661"/>
      <c r="C37" s="1662"/>
    </row>
    <row r="38" spans="1:3" x14ac:dyDescent="0.25">
      <c r="A38" s="1579" t="s">
        <v>464</v>
      </c>
      <c r="B38" s="1661"/>
      <c r="C38" s="1663">
        <f>C34+C25</f>
        <v>-673721</v>
      </c>
    </row>
    <row r="39" spans="1:3" x14ac:dyDescent="0.25">
      <c r="A39" s="1579" t="s">
        <v>776</v>
      </c>
      <c r="B39" s="1661"/>
      <c r="C39" s="1663"/>
    </row>
    <row r="40" spans="1:3" x14ac:dyDescent="0.25">
      <c r="A40" s="1579"/>
      <c r="B40" s="1661"/>
      <c r="C40" s="1663"/>
    </row>
    <row r="41" spans="1:3" x14ac:dyDescent="0.25">
      <c r="A41" s="1579" t="s">
        <v>465</v>
      </c>
      <c r="B41" s="1661"/>
      <c r="C41" s="1662">
        <v>646417</v>
      </c>
    </row>
    <row r="42" spans="1:3" x14ac:dyDescent="0.25">
      <c r="A42" s="1579" t="s">
        <v>1260</v>
      </c>
      <c r="B42" s="1661"/>
      <c r="C42" s="1663">
        <f>SUM(C41:C41)</f>
        <v>646417</v>
      </c>
    </row>
    <row r="43" spans="1:3" x14ac:dyDescent="0.25">
      <c r="A43" s="1664"/>
      <c r="B43" s="1661"/>
      <c r="C43" s="1663"/>
    </row>
    <row r="44" spans="1:3" x14ac:dyDescent="0.25">
      <c r="A44" s="1579" t="s">
        <v>776</v>
      </c>
      <c r="B44" s="1661"/>
      <c r="C44" s="1663"/>
    </row>
    <row r="45" spans="1:3" x14ac:dyDescent="0.25">
      <c r="A45" s="1579" t="s">
        <v>466</v>
      </c>
      <c r="B45" s="1661"/>
      <c r="C45" s="1662">
        <f>C42+C38</f>
        <v>-27304</v>
      </c>
    </row>
    <row r="46" spans="1:3" x14ac:dyDescent="0.25">
      <c r="A46" s="1664" t="s">
        <v>807</v>
      </c>
      <c r="B46" s="1661"/>
      <c r="C46" s="1663"/>
    </row>
    <row r="47" spans="1:3" x14ac:dyDescent="0.25">
      <c r="A47" s="1579" t="s">
        <v>1643</v>
      </c>
      <c r="B47" s="1661"/>
      <c r="C47" s="1663">
        <v>57096122</v>
      </c>
    </row>
    <row r="48" spans="1:3" x14ac:dyDescent="0.25">
      <c r="A48" s="1579"/>
      <c r="B48" s="1661"/>
      <c r="C48" s="1663"/>
    </row>
    <row r="49" spans="1:3" x14ac:dyDescent="0.25">
      <c r="A49" s="1579" t="s">
        <v>1644</v>
      </c>
      <c r="B49" s="1661"/>
      <c r="C49" s="1663">
        <f>C47+C45</f>
        <v>57068818</v>
      </c>
    </row>
    <row r="50" spans="1:3" x14ac:dyDescent="0.25">
      <c r="A50" s="1664"/>
      <c r="B50" s="1661"/>
      <c r="C50" s="1660"/>
    </row>
    <row r="51" spans="1:3" x14ac:dyDescent="0.25">
      <c r="A51" s="1579"/>
      <c r="B51" s="1661"/>
      <c r="C51" s="1660"/>
    </row>
    <row r="52" spans="1:3" x14ac:dyDescent="0.25">
      <c r="A52" s="1664"/>
      <c r="B52" s="1661"/>
      <c r="C52" s="1665"/>
    </row>
    <row r="53" spans="1:3" x14ac:dyDescent="0.25">
      <c r="A53" s="1579"/>
      <c r="B53" s="1661"/>
      <c r="C53" s="1661"/>
    </row>
    <row r="54" spans="1:3" x14ac:dyDescent="0.25">
      <c r="A54" s="1579"/>
      <c r="B54" s="1661"/>
      <c r="C54" s="1661"/>
    </row>
    <row r="55" spans="1:3" x14ac:dyDescent="0.25">
      <c r="A55" s="1579"/>
      <c r="B55" s="1661"/>
      <c r="C55" s="1661"/>
    </row>
    <row r="56" spans="1:3" x14ac:dyDescent="0.25">
      <c r="A56" s="1579"/>
    </row>
    <row r="57" spans="1:3" x14ac:dyDescent="0.25">
      <c r="A57" s="1579"/>
    </row>
    <row r="58" spans="1:3" x14ac:dyDescent="0.25">
      <c r="A58" s="1579"/>
    </row>
    <row r="59" spans="1:3" x14ac:dyDescent="0.25">
      <c r="A59" s="1579"/>
    </row>
    <row r="60" spans="1:3" x14ac:dyDescent="0.25">
      <c r="A60" s="1579"/>
    </row>
    <row r="61" spans="1:3" x14ac:dyDescent="0.25">
      <c r="A61" s="1579"/>
    </row>
    <row r="62" spans="1:3" x14ac:dyDescent="0.25">
      <c r="A62" s="1579"/>
    </row>
    <row r="63" spans="1:3" x14ac:dyDescent="0.25">
      <c r="A63" s="1579"/>
    </row>
    <row r="64" spans="1:3" x14ac:dyDescent="0.25">
      <c r="A64" s="1579"/>
    </row>
    <row r="65" spans="1:1" x14ac:dyDescent="0.25">
      <c r="A65" s="1579"/>
    </row>
  </sheetData>
  <printOptions horizontalCentered="1" verticalCentered="1"/>
  <pageMargins left="0.75" right="0.75" top="1" bottom="1" header="0.5" footer="0.5"/>
  <pageSetup orientation="portrait" horizontalDpi="4294967292" verticalDpi="300" r:id="rId1"/>
  <headerFooter alignWithMargins="0">
    <oddFooter>&amp;L&amp;7Source: Office of the Budget Director</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4"/>
  <sheetViews>
    <sheetView workbookViewId="0"/>
  </sheetViews>
  <sheetFormatPr defaultColWidth="6.6640625" defaultRowHeight="13.2" x14ac:dyDescent="0.25"/>
  <cols>
    <col min="1" max="1" width="25.33203125" style="1434" customWidth="1"/>
    <col min="2" max="2" width="11.44140625" style="1434" customWidth="1"/>
    <col min="3" max="3" width="10.44140625" style="1434" customWidth="1"/>
    <col min="4" max="4" width="7.6640625" style="1435" customWidth="1"/>
    <col min="5" max="5" width="1.33203125" style="1435" customWidth="1"/>
    <col min="6" max="6" width="29.88671875" style="1434" customWidth="1"/>
    <col min="7" max="16384" width="6.6640625" style="1434"/>
  </cols>
  <sheetData>
    <row r="1" spans="1:8" ht="21" x14ac:dyDescent="0.4">
      <c r="A1" s="1666" t="s">
        <v>733</v>
      </c>
      <c r="B1" s="1666"/>
      <c r="C1" s="1666"/>
      <c r="D1" s="1667"/>
      <c r="E1" s="1667"/>
      <c r="F1" s="1666"/>
    </row>
    <row r="2" spans="1:8" ht="21" x14ac:dyDescent="0.4">
      <c r="A2" s="1666"/>
      <c r="B2" s="1578"/>
      <c r="C2" s="1578"/>
      <c r="D2" s="1668"/>
      <c r="E2" s="1668"/>
      <c r="F2" s="1578"/>
    </row>
    <row r="3" spans="1:8" x14ac:dyDescent="0.25">
      <c r="F3" s="1579"/>
    </row>
    <row r="4" spans="1:8" x14ac:dyDescent="0.25">
      <c r="B4" s="1669" t="s">
        <v>597</v>
      </c>
      <c r="C4" s="1669" t="s">
        <v>597</v>
      </c>
      <c r="D4" s="1670" t="s">
        <v>598</v>
      </c>
      <c r="E4" s="1671"/>
      <c r="F4" s="1672"/>
    </row>
    <row r="5" spans="1:8" x14ac:dyDescent="0.25">
      <c r="A5" s="1673" t="s">
        <v>599</v>
      </c>
      <c r="B5" s="1674" t="s">
        <v>600</v>
      </c>
      <c r="C5" s="1674" t="s">
        <v>601</v>
      </c>
      <c r="D5" s="1675" t="s">
        <v>602</v>
      </c>
      <c r="E5" s="1676"/>
      <c r="F5" s="1677" t="s">
        <v>603</v>
      </c>
      <c r="G5" s="1678"/>
    </row>
    <row r="6" spans="1:8" x14ac:dyDescent="0.25">
      <c r="A6" s="1679"/>
      <c r="B6" s="1680"/>
      <c r="C6" s="1680"/>
      <c r="D6" s="1681"/>
      <c r="E6" s="1681"/>
      <c r="F6" s="1680"/>
      <c r="G6" s="1682"/>
    </row>
    <row r="7" spans="1:8" x14ac:dyDescent="0.25">
      <c r="A7" s="1579"/>
      <c r="B7" s="1579"/>
      <c r="C7" s="1579"/>
      <c r="D7" s="1683"/>
      <c r="E7" s="1683"/>
      <c r="F7" s="1579"/>
      <c r="G7" s="1579"/>
      <c r="H7" s="1579"/>
    </row>
    <row r="8" spans="1:8" x14ac:dyDescent="0.25">
      <c r="A8" s="1684" t="s">
        <v>604</v>
      </c>
      <c r="B8" s="1684"/>
      <c r="C8" s="1684"/>
      <c r="D8" s="1685"/>
      <c r="E8" s="1685"/>
      <c r="F8" s="1684"/>
      <c r="G8" s="1579"/>
      <c r="H8" s="1579"/>
    </row>
    <row r="9" spans="1:8" x14ac:dyDescent="0.25">
      <c r="A9" s="1684"/>
      <c r="B9" s="1684"/>
      <c r="C9" s="1684"/>
      <c r="D9" s="1686"/>
      <c r="E9" s="1686"/>
      <c r="F9" s="1684"/>
      <c r="G9" s="1579"/>
      <c r="H9" s="1579"/>
    </row>
    <row r="10" spans="1:8" x14ac:dyDescent="0.25">
      <c r="A10" s="1579" t="s">
        <v>550</v>
      </c>
      <c r="B10" s="1579">
        <v>1977</v>
      </c>
      <c r="C10" s="1687"/>
      <c r="D10" s="1683">
        <f>9800+9800+9800+9608+9608+9608+9608</f>
        <v>67832</v>
      </c>
      <c r="E10" s="1683"/>
      <c r="F10" s="1579" t="s">
        <v>605</v>
      </c>
      <c r="G10" s="1579"/>
      <c r="H10" s="1579"/>
    </row>
    <row r="11" spans="1:8" x14ac:dyDescent="0.25">
      <c r="A11" s="1579" t="s">
        <v>551</v>
      </c>
      <c r="B11" s="1579">
        <v>1925</v>
      </c>
      <c r="C11" s="1687">
        <v>2003</v>
      </c>
      <c r="D11" s="1683">
        <v>20694</v>
      </c>
      <c r="E11" s="1683"/>
      <c r="F11" s="1579" t="s">
        <v>605</v>
      </c>
      <c r="G11" s="1579"/>
      <c r="H11" s="1579"/>
    </row>
    <row r="12" spans="1:8" x14ac:dyDescent="0.25">
      <c r="A12" s="1579" t="s">
        <v>552</v>
      </c>
      <c r="B12" s="1579">
        <v>1950</v>
      </c>
      <c r="C12" s="1687"/>
      <c r="D12" s="1683">
        <v>35572</v>
      </c>
      <c r="E12" s="1683"/>
      <c r="F12" s="1579" t="s">
        <v>605</v>
      </c>
      <c r="G12" s="1579"/>
      <c r="H12" s="1579"/>
    </row>
    <row r="13" spans="1:8" x14ac:dyDescent="0.25">
      <c r="A13" s="1579" t="s">
        <v>556</v>
      </c>
      <c r="B13" s="1579">
        <v>1925</v>
      </c>
      <c r="C13" s="1687">
        <v>1984</v>
      </c>
      <c r="D13" s="1683">
        <v>50200</v>
      </c>
      <c r="E13" s="1683"/>
      <c r="F13" s="1579" t="s">
        <v>605</v>
      </c>
      <c r="G13" s="1579"/>
      <c r="H13" s="1579"/>
    </row>
    <row r="14" spans="1:8" x14ac:dyDescent="0.25">
      <c r="A14" s="1579" t="s">
        <v>554</v>
      </c>
      <c r="B14" s="1579">
        <v>1984</v>
      </c>
      <c r="C14" s="1687"/>
      <c r="D14" s="1683">
        <f>8628+8628+8628+8628+8628+500</f>
        <v>43640</v>
      </c>
      <c r="E14" s="1683"/>
      <c r="F14" s="1579" t="s">
        <v>605</v>
      </c>
      <c r="G14" s="1579"/>
      <c r="H14" s="1579"/>
    </row>
    <row r="15" spans="1:8" x14ac:dyDescent="0.25">
      <c r="A15" s="1579" t="s">
        <v>553</v>
      </c>
      <c r="B15" s="1579">
        <v>1992</v>
      </c>
      <c r="C15" s="1687"/>
      <c r="D15" s="1683">
        <f>728+728+728+728+882+728+728+728+728+728+728+728+728+728+728+728+728+1008</f>
        <v>13538</v>
      </c>
      <c r="E15" s="1683"/>
      <c r="F15" s="1579" t="s">
        <v>605</v>
      </c>
      <c r="G15" s="1579"/>
      <c r="H15" s="1579"/>
    </row>
    <row r="16" spans="1:8" x14ac:dyDescent="0.25">
      <c r="A16" s="1579" t="s">
        <v>555</v>
      </c>
      <c r="B16" s="1579">
        <v>1983</v>
      </c>
      <c r="C16" s="1687"/>
      <c r="D16" s="1683">
        <f>2016+2016+2352+2016+2016+2016+2016+2016</f>
        <v>16464</v>
      </c>
      <c r="E16" s="1683"/>
      <c r="F16" s="1579" t="s">
        <v>605</v>
      </c>
      <c r="G16" s="1579"/>
      <c r="H16" s="1579"/>
    </row>
    <row r="17" spans="1:8" x14ac:dyDescent="0.25">
      <c r="A17" s="1579"/>
      <c r="B17" s="1579"/>
      <c r="C17" s="1579"/>
      <c r="D17" s="1683"/>
      <c r="E17" s="1683"/>
      <c r="F17" s="1579"/>
      <c r="G17" s="1579"/>
      <c r="H17" s="1579"/>
    </row>
    <row r="18" spans="1:8" x14ac:dyDescent="0.25">
      <c r="A18" s="1579"/>
      <c r="B18" s="1579"/>
      <c r="C18" s="1579"/>
      <c r="D18" s="1683"/>
      <c r="E18" s="1683"/>
      <c r="F18" s="1579"/>
      <c r="G18" s="1579"/>
      <c r="H18" s="1579"/>
    </row>
    <row r="19" spans="1:8" x14ac:dyDescent="0.25">
      <c r="A19" s="1684" t="s">
        <v>606</v>
      </c>
      <c r="B19" s="1684"/>
      <c r="C19" s="1684"/>
      <c r="D19" s="1685"/>
      <c r="E19" s="1685"/>
      <c r="F19" s="1684"/>
      <c r="G19" s="1579"/>
      <c r="H19" s="1579"/>
    </row>
    <row r="20" spans="1:8" x14ac:dyDescent="0.25">
      <c r="A20" s="1684"/>
      <c r="B20" s="1684"/>
      <c r="C20" s="1684"/>
      <c r="D20" s="1686"/>
      <c r="E20" s="1686"/>
      <c r="F20" s="1684"/>
      <c r="G20" s="1579"/>
      <c r="H20" s="1579"/>
    </row>
    <row r="21" spans="1:8" x14ac:dyDescent="0.25">
      <c r="A21" s="1579" t="s">
        <v>1300</v>
      </c>
      <c r="B21" s="1579">
        <v>1967</v>
      </c>
      <c r="C21" s="1687">
        <v>2000</v>
      </c>
      <c r="D21" s="1683">
        <v>24445</v>
      </c>
      <c r="E21" s="1683"/>
      <c r="F21" s="1579" t="s">
        <v>607</v>
      </c>
      <c r="G21" s="1579"/>
      <c r="H21" s="1579"/>
    </row>
    <row r="22" spans="1:8" x14ac:dyDescent="0.25">
      <c r="A22" s="1579" t="s">
        <v>608</v>
      </c>
      <c r="B22" s="1579">
        <v>1982</v>
      </c>
      <c r="C22" s="1687"/>
      <c r="D22" s="1683">
        <v>110898</v>
      </c>
      <c r="E22" s="1683"/>
      <c r="F22" s="1579" t="s">
        <v>607</v>
      </c>
      <c r="G22" s="1579"/>
      <c r="H22" s="1579"/>
    </row>
    <row r="23" spans="1:8" x14ac:dyDescent="0.25">
      <c r="A23" s="1579" t="s">
        <v>609</v>
      </c>
      <c r="B23" s="1579">
        <v>1987</v>
      </c>
      <c r="C23" s="1687"/>
      <c r="D23" s="1683">
        <v>67947</v>
      </c>
      <c r="E23" s="1683"/>
      <c r="F23" s="1579" t="s">
        <v>610</v>
      </c>
      <c r="G23" s="1579"/>
      <c r="H23" s="1579"/>
    </row>
    <row r="24" spans="1:8" x14ac:dyDescent="0.25">
      <c r="A24" s="1579" t="s">
        <v>611</v>
      </c>
      <c r="B24" s="1579">
        <v>1991</v>
      </c>
      <c r="C24" s="1687"/>
      <c r="D24" s="1683">
        <f>53042+73249</f>
        <v>126291</v>
      </c>
      <c r="E24" s="1683"/>
      <c r="F24" s="1579" t="s">
        <v>612</v>
      </c>
      <c r="G24" s="1579"/>
      <c r="H24" s="1579"/>
    </row>
    <row r="25" spans="1:8" x14ac:dyDescent="0.25">
      <c r="A25" s="1579"/>
      <c r="B25" s="1579"/>
      <c r="C25" s="1687"/>
      <c r="D25" s="1683"/>
      <c r="E25" s="1683"/>
      <c r="F25" s="1579" t="s">
        <v>613</v>
      </c>
      <c r="G25" s="1579"/>
      <c r="H25" s="1579"/>
    </row>
    <row r="26" spans="1:8" x14ac:dyDescent="0.25">
      <c r="A26" s="1579" t="s">
        <v>615</v>
      </c>
      <c r="B26" s="1579">
        <v>1978</v>
      </c>
      <c r="C26" s="1687"/>
      <c r="D26" s="1683">
        <v>61000</v>
      </c>
      <c r="E26" s="1683"/>
      <c r="F26" s="1579" t="s">
        <v>616</v>
      </c>
      <c r="G26" s="1579"/>
      <c r="H26" s="1579"/>
    </row>
    <row r="27" spans="1:8" x14ac:dyDescent="0.25">
      <c r="A27" s="1579"/>
      <c r="B27" s="1579"/>
      <c r="C27" s="1687"/>
      <c r="D27" s="1683"/>
      <c r="E27" s="1683"/>
      <c r="F27" s="1579" t="s">
        <v>617</v>
      </c>
      <c r="G27" s="1579"/>
      <c r="H27" s="1579"/>
    </row>
    <row r="28" spans="1:8" x14ac:dyDescent="0.25">
      <c r="A28" s="1579" t="s">
        <v>618</v>
      </c>
      <c r="B28" s="1579">
        <v>1976</v>
      </c>
      <c r="C28" s="1687"/>
      <c r="D28" s="1683">
        <v>65255</v>
      </c>
      <c r="E28" s="1683"/>
      <c r="F28" s="1579" t="s">
        <v>619</v>
      </c>
      <c r="G28" s="1579"/>
      <c r="H28" s="1579"/>
    </row>
    <row r="29" spans="1:8" x14ac:dyDescent="0.25">
      <c r="A29" s="1579"/>
      <c r="B29" s="1579"/>
      <c r="C29" s="1687"/>
      <c r="D29" s="1683"/>
      <c r="E29" s="1683"/>
      <c r="F29" s="1579" t="s">
        <v>622</v>
      </c>
      <c r="G29" s="1579"/>
      <c r="H29" s="1579"/>
    </row>
    <row r="30" spans="1:8" x14ac:dyDescent="0.25">
      <c r="A30" s="1579" t="s">
        <v>623</v>
      </c>
      <c r="B30" s="1579">
        <v>1996</v>
      </c>
      <c r="C30" s="1687"/>
      <c r="D30" s="1683">
        <v>22257</v>
      </c>
      <c r="E30" s="1683"/>
      <c r="F30" s="1579" t="s">
        <v>625</v>
      </c>
      <c r="G30" s="1579"/>
      <c r="H30" s="1579"/>
    </row>
    <row r="31" spans="1:8" x14ac:dyDescent="0.25">
      <c r="A31" s="1579" t="s">
        <v>626</v>
      </c>
      <c r="B31" s="1579">
        <v>1996</v>
      </c>
      <c r="C31" s="1687"/>
      <c r="D31" s="1683">
        <v>83603</v>
      </c>
      <c r="E31" s="1683"/>
      <c r="F31" s="1579" t="s">
        <v>625</v>
      </c>
      <c r="G31" s="1579"/>
      <c r="H31" s="1579"/>
    </row>
    <row r="32" spans="1:8" x14ac:dyDescent="0.25">
      <c r="A32" s="1579" t="s">
        <v>627</v>
      </c>
      <c r="B32" s="1579">
        <v>1955</v>
      </c>
      <c r="C32" s="1687"/>
      <c r="D32" s="1683">
        <v>1316</v>
      </c>
      <c r="E32" s="1683"/>
      <c r="F32" s="1579" t="s">
        <v>628</v>
      </c>
      <c r="G32" s="1579"/>
      <c r="H32" s="1579"/>
    </row>
    <row r="33" spans="1:8" x14ac:dyDescent="0.25">
      <c r="A33" s="1579" t="s">
        <v>629</v>
      </c>
      <c r="B33" s="1579">
        <v>1964</v>
      </c>
      <c r="C33" s="1687"/>
      <c r="D33" s="1683">
        <v>1069</v>
      </c>
      <c r="E33" s="1683"/>
      <c r="F33" s="1579" t="s">
        <v>628</v>
      </c>
      <c r="G33" s="1579"/>
      <c r="H33" s="1579"/>
    </row>
    <row r="34" spans="1:8" x14ac:dyDescent="0.25">
      <c r="A34" s="1579" t="s">
        <v>630</v>
      </c>
      <c r="B34" s="1579">
        <v>1970</v>
      </c>
      <c r="C34" s="1687"/>
      <c r="D34" s="1683">
        <v>1324</v>
      </c>
      <c r="E34" s="1683"/>
      <c r="F34" s="1579" t="s">
        <v>628</v>
      </c>
      <c r="G34" s="1579"/>
      <c r="H34" s="1579"/>
    </row>
    <row r="35" spans="1:8" x14ac:dyDescent="0.25">
      <c r="A35" s="1579" t="s">
        <v>631</v>
      </c>
      <c r="B35" s="1579">
        <v>1955</v>
      </c>
      <c r="C35" s="1687">
        <v>1992</v>
      </c>
      <c r="D35" s="1683">
        <v>1677</v>
      </c>
      <c r="E35" s="1683"/>
      <c r="F35" s="1579" t="s">
        <v>632</v>
      </c>
      <c r="G35" s="1579"/>
      <c r="H35" s="1579"/>
    </row>
    <row r="36" spans="1:8" x14ac:dyDescent="0.25">
      <c r="A36" s="1579"/>
      <c r="B36" s="1579"/>
      <c r="C36" s="1579"/>
      <c r="D36" s="1683"/>
      <c r="E36" s="1683"/>
      <c r="F36" s="1579"/>
      <c r="G36" s="1579"/>
      <c r="H36" s="1579"/>
    </row>
    <row r="37" spans="1:8" x14ac:dyDescent="0.25">
      <c r="A37" s="1579"/>
      <c r="B37" s="1579"/>
      <c r="C37" s="1579"/>
      <c r="D37" s="1683"/>
      <c r="E37" s="1683"/>
      <c r="F37" s="1579"/>
      <c r="G37" s="1579"/>
      <c r="H37" s="1579"/>
    </row>
    <row r="38" spans="1:8" x14ac:dyDescent="0.25">
      <c r="A38" s="1684" t="s">
        <v>633</v>
      </c>
      <c r="B38" s="1684"/>
      <c r="C38" s="1684"/>
      <c r="D38" s="1685"/>
      <c r="E38" s="1685"/>
      <c r="F38" s="1684"/>
      <c r="G38" s="1579"/>
      <c r="H38" s="1579"/>
    </row>
    <row r="39" spans="1:8" x14ac:dyDescent="0.25">
      <c r="A39" s="1684"/>
      <c r="B39" s="1684"/>
      <c r="C39" s="1684"/>
      <c r="D39" s="1686"/>
      <c r="E39" s="1686"/>
      <c r="F39" s="1684"/>
      <c r="G39" s="1579"/>
      <c r="H39" s="1579"/>
    </row>
    <row r="40" spans="1:8" x14ac:dyDescent="0.25">
      <c r="A40" s="1579" t="s">
        <v>634</v>
      </c>
      <c r="B40" s="1579">
        <v>1974</v>
      </c>
      <c r="C40" s="1687"/>
      <c r="D40" s="1683">
        <v>6360</v>
      </c>
      <c r="E40" s="1683"/>
      <c r="F40" s="1688" t="s">
        <v>635</v>
      </c>
      <c r="G40" s="1579"/>
      <c r="H40" s="1579"/>
    </row>
    <row r="41" spans="1:8" x14ac:dyDescent="0.25">
      <c r="A41" s="1579"/>
      <c r="B41" s="1579"/>
      <c r="C41" s="1687"/>
      <c r="D41" s="1683"/>
      <c r="E41" s="1683"/>
      <c r="F41" s="1579" t="s">
        <v>636</v>
      </c>
      <c r="G41" s="1579"/>
      <c r="H41" s="1579"/>
    </row>
    <row r="42" spans="1:8" x14ac:dyDescent="0.25">
      <c r="A42" s="1579"/>
      <c r="B42" s="1579"/>
      <c r="C42" s="1687"/>
      <c r="D42" s="1683"/>
      <c r="E42" s="1683"/>
      <c r="F42" s="1579" t="s">
        <v>639</v>
      </c>
      <c r="G42" s="1579"/>
      <c r="H42" s="1579"/>
    </row>
    <row r="43" spans="1:8" x14ac:dyDescent="0.25">
      <c r="A43" s="1579" t="s">
        <v>614</v>
      </c>
      <c r="B43" s="1579">
        <v>1974</v>
      </c>
      <c r="C43" s="1687">
        <v>2001</v>
      </c>
      <c r="D43" s="1683">
        <v>5400</v>
      </c>
      <c r="E43" s="1683"/>
      <c r="F43" s="1579" t="s">
        <v>458</v>
      </c>
      <c r="G43" s="1579"/>
      <c r="H43" s="1579"/>
    </row>
    <row r="44" spans="1:8" x14ac:dyDescent="0.25">
      <c r="A44" s="1579" t="s">
        <v>640</v>
      </c>
      <c r="B44" s="1579">
        <v>1990</v>
      </c>
      <c r="C44" s="1687"/>
      <c r="D44" s="1683">
        <v>12000</v>
      </c>
      <c r="E44" s="1683"/>
      <c r="F44" s="1579" t="s">
        <v>641</v>
      </c>
      <c r="G44" s="1579"/>
      <c r="H44" s="1579"/>
    </row>
    <row r="45" spans="1:8" x14ac:dyDescent="0.25">
      <c r="A45" s="1579" t="s">
        <v>642</v>
      </c>
      <c r="B45" s="1579">
        <v>1952</v>
      </c>
      <c r="C45" s="1687"/>
      <c r="D45" s="1683">
        <v>8246</v>
      </c>
      <c r="E45" s="1683"/>
      <c r="F45" s="1579" t="s">
        <v>643</v>
      </c>
      <c r="G45" s="1579"/>
      <c r="H45" s="1579"/>
    </row>
    <row r="46" spans="1:8" x14ac:dyDescent="0.25">
      <c r="A46" s="1579" t="s">
        <v>644</v>
      </c>
      <c r="B46" s="1579">
        <v>1942</v>
      </c>
      <c r="C46" s="1687">
        <v>1988</v>
      </c>
      <c r="D46" s="1683">
        <v>7000</v>
      </c>
      <c r="E46" s="1683"/>
      <c r="F46" s="1579" t="s">
        <v>645</v>
      </c>
      <c r="G46" s="1579"/>
      <c r="H46" s="1579"/>
    </row>
    <row r="47" spans="1:8" x14ac:dyDescent="0.25">
      <c r="A47" s="1579" t="s">
        <v>646</v>
      </c>
      <c r="B47" s="1579">
        <v>1935</v>
      </c>
      <c r="C47" s="1687"/>
      <c r="D47" s="1683">
        <v>1800</v>
      </c>
      <c r="E47" s="1683"/>
      <c r="F47" s="1579" t="s">
        <v>647</v>
      </c>
      <c r="G47" s="1579"/>
      <c r="H47" s="1579"/>
    </row>
    <row r="48" spans="1:8" x14ac:dyDescent="0.25">
      <c r="A48" s="1579" t="s">
        <v>648</v>
      </c>
      <c r="B48" s="1579">
        <v>1920</v>
      </c>
      <c r="C48" s="1687"/>
      <c r="D48" s="1683">
        <v>1500</v>
      </c>
      <c r="E48" s="1683"/>
      <c r="F48" s="1579" t="s">
        <v>649</v>
      </c>
      <c r="G48" s="1579"/>
      <c r="H48" s="1579"/>
    </row>
    <row r="49" spans="1:8" x14ac:dyDescent="0.25">
      <c r="A49" s="1579" t="s">
        <v>650</v>
      </c>
      <c r="B49" s="1579">
        <v>1947</v>
      </c>
      <c r="C49" s="1687">
        <v>1985</v>
      </c>
      <c r="D49" s="1683">
        <v>1120</v>
      </c>
      <c r="E49" s="1683"/>
      <c r="F49" s="1579" t="s">
        <v>651</v>
      </c>
      <c r="G49" s="1579"/>
      <c r="H49" s="1579"/>
    </row>
    <row r="50" spans="1:8" x14ac:dyDescent="0.25">
      <c r="A50" s="1579" t="s">
        <v>652</v>
      </c>
      <c r="B50" s="1579">
        <v>1949</v>
      </c>
      <c r="C50" s="1687">
        <v>1990</v>
      </c>
      <c r="D50" s="1683">
        <v>1106</v>
      </c>
      <c r="E50" s="1683"/>
      <c r="F50" s="1579" t="s">
        <v>653</v>
      </c>
      <c r="G50" s="1579"/>
      <c r="H50" s="1579"/>
    </row>
    <row r="51" spans="1:8" x14ac:dyDescent="0.25">
      <c r="A51" s="1579" t="s">
        <v>654</v>
      </c>
      <c r="B51" s="1579">
        <v>1960</v>
      </c>
      <c r="C51" s="1687">
        <v>1993</v>
      </c>
      <c r="D51" s="1683">
        <v>1378</v>
      </c>
      <c r="E51" s="1683"/>
      <c r="F51" s="1579" t="s">
        <v>655</v>
      </c>
      <c r="G51" s="1579"/>
      <c r="H51" s="1579"/>
    </row>
    <row r="52" spans="1:8" x14ac:dyDescent="0.25">
      <c r="A52" s="1579"/>
      <c r="B52" s="1579"/>
      <c r="C52" s="1579"/>
      <c r="D52" s="1683"/>
      <c r="E52" s="1683"/>
      <c r="F52" s="1579"/>
      <c r="G52" s="1579"/>
      <c r="H52" s="1579"/>
    </row>
    <row r="53" spans="1:8" x14ac:dyDescent="0.25">
      <c r="A53" s="1579"/>
      <c r="B53" s="1579"/>
      <c r="C53" s="1579"/>
      <c r="D53" s="1683"/>
      <c r="E53" s="1683"/>
      <c r="F53" s="1579"/>
      <c r="G53" s="1579"/>
      <c r="H53" s="1579"/>
    </row>
    <row r="54" spans="1:8" x14ac:dyDescent="0.25">
      <c r="A54" s="1579"/>
      <c r="B54" s="1579"/>
      <c r="C54" s="1579"/>
      <c r="D54" s="1683"/>
      <c r="E54" s="1683"/>
      <c r="F54" s="1579"/>
      <c r="G54" s="1579"/>
      <c r="H54" s="1579"/>
    </row>
    <row r="55" spans="1:8" x14ac:dyDescent="0.25">
      <c r="A55" s="1579"/>
      <c r="B55" s="1579"/>
      <c r="C55" s="1579"/>
      <c r="D55" s="1683"/>
      <c r="E55" s="1683"/>
      <c r="F55" s="1579"/>
      <c r="G55" s="1579"/>
      <c r="H55" s="1579"/>
    </row>
    <row r="56" spans="1:8" x14ac:dyDescent="0.25">
      <c r="A56" s="1579"/>
      <c r="B56" s="1579"/>
      <c r="C56" s="1579"/>
      <c r="D56" s="1683"/>
      <c r="E56" s="1683"/>
      <c r="F56" s="1579"/>
      <c r="G56" s="1579"/>
      <c r="H56" s="1579"/>
    </row>
    <row r="57" spans="1:8" x14ac:dyDescent="0.25">
      <c r="A57" s="1579"/>
      <c r="B57" s="1579"/>
      <c r="C57" s="1579"/>
      <c r="D57" s="1683"/>
      <c r="E57" s="1683"/>
      <c r="F57" s="1579"/>
      <c r="G57" s="1579"/>
      <c r="H57" s="1579"/>
    </row>
    <row r="58" spans="1:8" x14ac:dyDescent="0.25">
      <c r="A58" s="1579"/>
      <c r="B58" s="1579"/>
      <c r="C58" s="1579"/>
      <c r="D58" s="1683"/>
      <c r="E58" s="1683"/>
      <c r="F58" s="1579"/>
      <c r="G58" s="1579"/>
      <c r="H58" s="1579"/>
    </row>
    <row r="59" spans="1:8" x14ac:dyDescent="0.25">
      <c r="A59" s="1579"/>
      <c r="B59" s="1579"/>
      <c r="C59" s="1579"/>
      <c r="D59" s="1683"/>
      <c r="E59" s="1683"/>
      <c r="F59" s="1579"/>
      <c r="G59" s="1579"/>
      <c r="H59" s="1579"/>
    </row>
    <row r="60" spans="1:8" x14ac:dyDescent="0.25">
      <c r="A60" s="1579"/>
      <c r="B60" s="1579"/>
      <c r="C60" s="1579"/>
      <c r="D60" s="1683"/>
      <c r="E60" s="1683"/>
      <c r="F60" s="1579"/>
      <c r="G60" s="1579"/>
      <c r="H60" s="1579"/>
    </row>
    <row r="61" spans="1:8" x14ac:dyDescent="0.25">
      <c r="A61" s="1579"/>
      <c r="B61" s="1579"/>
      <c r="C61" s="1579"/>
      <c r="D61" s="1683"/>
      <c r="E61" s="1683"/>
      <c r="F61" s="1579"/>
      <c r="G61" s="1579"/>
      <c r="H61" s="1579"/>
    </row>
    <row r="62" spans="1:8" x14ac:dyDescent="0.25">
      <c r="A62" s="1579"/>
      <c r="B62" s="1579"/>
      <c r="C62" s="1579"/>
      <c r="D62" s="1683"/>
      <c r="E62" s="1683"/>
      <c r="F62" s="1579"/>
      <c r="G62" s="1579"/>
      <c r="H62" s="1579"/>
    </row>
    <row r="63" spans="1:8" x14ac:dyDescent="0.25">
      <c r="A63" s="1579"/>
      <c r="B63" s="1579"/>
      <c r="C63" s="1579"/>
      <c r="D63" s="1683"/>
      <c r="E63" s="1683"/>
      <c r="F63" s="1579"/>
      <c r="G63" s="1579"/>
      <c r="H63" s="1579"/>
    </row>
    <row r="64" spans="1:8" x14ac:dyDescent="0.25">
      <c r="A64" s="1579"/>
      <c r="B64" s="1579"/>
      <c r="C64" s="1579"/>
      <c r="D64" s="1683"/>
      <c r="E64" s="1683"/>
      <c r="F64" s="1579"/>
      <c r="G64" s="1579"/>
      <c r="H64" s="1579"/>
    </row>
  </sheetData>
  <printOptions horizontalCentered="1" verticalCentered="1"/>
  <pageMargins left="0.75" right="0.75" top="1" bottom="1" header="0.5" footer="0.5"/>
  <pageSetup scale="84" orientation="portrait" horizontalDpi="4294967292" verticalDpi="300" r:id="rId1"/>
  <headerFooter alignWithMargins="0">
    <oddFooter>&amp;LSource: Office of the Budget Director</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2"/>
  <dimension ref="A1:N29"/>
  <sheetViews>
    <sheetView workbookViewId="0">
      <selection sqref="A1:E1"/>
    </sheetView>
  </sheetViews>
  <sheetFormatPr defaultRowHeight="13.2" x14ac:dyDescent="0.25"/>
  <cols>
    <col min="2" max="2" width="14.6640625" customWidth="1"/>
    <col min="14" max="14" width="28.88671875" customWidth="1"/>
  </cols>
  <sheetData>
    <row r="1" spans="1:14" ht="17.399999999999999" x14ac:dyDescent="0.3">
      <c r="A1" s="1701" t="s">
        <v>734</v>
      </c>
      <c r="B1" s="1701"/>
      <c r="C1" s="1701"/>
      <c r="D1" s="1701"/>
      <c r="E1" s="1701"/>
    </row>
    <row r="2" spans="1:14" ht="39" customHeight="1" x14ac:dyDescent="0.25">
      <c r="A2" s="1822" t="s">
        <v>489</v>
      </c>
      <c r="B2" s="1822"/>
      <c r="C2" s="1822"/>
      <c r="D2" s="1822"/>
      <c r="E2" s="1822"/>
    </row>
    <row r="3" spans="1:14" x14ac:dyDescent="0.25">
      <c r="N3" s="601"/>
    </row>
    <row r="4" spans="1:14" ht="14.1" customHeight="1" x14ac:dyDescent="0.25">
      <c r="A4" s="1818" t="s">
        <v>492</v>
      </c>
      <c r="B4" s="17" t="s">
        <v>1487</v>
      </c>
      <c r="C4" s="314" t="s">
        <v>493</v>
      </c>
      <c r="D4" s="314" t="s">
        <v>494</v>
      </c>
      <c r="E4" s="314" t="s">
        <v>495</v>
      </c>
    </row>
    <row r="5" spans="1:14" ht="14.1" customHeight="1" x14ac:dyDescent="0.25">
      <c r="A5" s="1819"/>
      <c r="B5" s="315" t="s">
        <v>496</v>
      </c>
      <c r="C5" s="315">
        <v>185</v>
      </c>
      <c r="D5" s="315">
        <v>356</v>
      </c>
      <c r="E5" s="315">
        <f>SUM(C5:D5)</f>
        <v>541</v>
      </c>
    </row>
    <row r="6" spans="1:14" ht="14.1" customHeight="1" x14ac:dyDescent="0.25">
      <c r="A6" s="1819"/>
      <c r="B6" s="315" t="s">
        <v>497</v>
      </c>
      <c r="C6" s="315">
        <v>57</v>
      </c>
      <c r="D6" s="315">
        <v>166</v>
      </c>
      <c r="E6" s="315">
        <f>SUM(C6:D6)</f>
        <v>223</v>
      </c>
    </row>
    <row r="7" spans="1:14" ht="14.1" customHeight="1" x14ac:dyDescent="0.25">
      <c r="A7" s="1820"/>
      <c r="B7" s="315" t="s">
        <v>498</v>
      </c>
      <c r="C7" s="316">
        <f>C6/C5</f>
        <v>0.30810810810810813</v>
      </c>
      <c r="D7" s="316">
        <f>D6/D5</f>
        <v>0.46629213483146065</v>
      </c>
      <c r="E7" s="316">
        <f>E6/E5</f>
        <v>0.4121996303142329</v>
      </c>
    </row>
    <row r="8" spans="1:14" ht="14.1" customHeight="1" x14ac:dyDescent="0.25"/>
    <row r="9" spans="1:14" ht="14.1" customHeight="1" x14ac:dyDescent="0.25">
      <c r="A9" s="1818" t="s">
        <v>499</v>
      </c>
      <c r="B9" s="17" t="str">
        <f>+B4</f>
        <v>Fall 2003</v>
      </c>
      <c r="C9" s="314" t="s">
        <v>493</v>
      </c>
      <c r="D9" s="314" t="s">
        <v>494</v>
      </c>
      <c r="E9" s="314" t="s">
        <v>495</v>
      </c>
    </row>
    <row r="10" spans="1:14" ht="14.1" customHeight="1" x14ac:dyDescent="0.25">
      <c r="A10" s="1819"/>
      <c r="B10" s="315" t="s">
        <v>496</v>
      </c>
      <c r="C10" s="315">
        <v>3</v>
      </c>
      <c r="D10" s="315">
        <v>2</v>
      </c>
      <c r="E10" s="315">
        <f>SUM(C10:D10)</f>
        <v>5</v>
      </c>
    </row>
    <row r="11" spans="1:14" ht="14.1" customHeight="1" x14ac:dyDescent="0.25">
      <c r="A11" s="1819"/>
      <c r="B11" s="315" t="s">
        <v>497</v>
      </c>
      <c r="C11" s="315">
        <v>2</v>
      </c>
      <c r="D11" s="315">
        <v>1</v>
      </c>
      <c r="E11" s="315">
        <f>SUM(C11:D11)</f>
        <v>3</v>
      </c>
    </row>
    <row r="12" spans="1:14" ht="15" customHeight="1" x14ac:dyDescent="0.25">
      <c r="A12" s="1820"/>
      <c r="B12" s="315" t="s">
        <v>498</v>
      </c>
      <c r="C12" s="318">
        <f>C11/C10</f>
        <v>0.66666666666666663</v>
      </c>
      <c r="D12" s="318">
        <f>D11/D10</f>
        <v>0.5</v>
      </c>
      <c r="E12" s="318">
        <f>E11/E10</f>
        <v>0.6</v>
      </c>
    </row>
    <row r="13" spans="1:14" ht="14.1" customHeight="1" x14ac:dyDescent="0.25">
      <c r="A13" s="313"/>
      <c r="C13" s="319"/>
      <c r="D13" s="317"/>
      <c r="E13" s="317"/>
    </row>
    <row r="14" spans="1:14" ht="14.1" customHeight="1" x14ac:dyDescent="0.25">
      <c r="A14" s="1818" t="s">
        <v>11</v>
      </c>
      <c r="B14" s="17" t="str">
        <f>+B9</f>
        <v>Fall 2003</v>
      </c>
      <c r="C14" s="314" t="s">
        <v>493</v>
      </c>
      <c r="D14" s="314" t="s">
        <v>494</v>
      </c>
      <c r="E14" s="314" t="s">
        <v>495</v>
      </c>
    </row>
    <row r="15" spans="1:14" ht="14.1" customHeight="1" x14ac:dyDescent="0.25">
      <c r="A15" s="1819"/>
      <c r="B15" s="315" t="s">
        <v>496</v>
      </c>
      <c r="C15" s="315">
        <v>0</v>
      </c>
      <c r="D15" s="315">
        <v>0</v>
      </c>
      <c r="E15" s="315">
        <f>SUM(C15:D15)</f>
        <v>0</v>
      </c>
    </row>
    <row r="16" spans="1:14" ht="14.1" customHeight="1" x14ac:dyDescent="0.25">
      <c r="A16" s="1819"/>
      <c r="B16" s="315" t="s">
        <v>497</v>
      </c>
      <c r="C16" s="315">
        <v>0</v>
      </c>
      <c r="D16" s="315">
        <v>0</v>
      </c>
      <c r="E16" s="315">
        <f>SUM(C16:D16)</f>
        <v>0</v>
      </c>
    </row>
    <row r="17" spans="1:5" ht="14.1" customHeight="1" x14ac:dyDescent="0.25">
      <c r="A17" s="1820"/>
      <c r="B17" s="315" t="s">
        <v>498</v>
      </c>
      <c r="C17" s="1419" t="s">
        <v>1045</v>
      </c>
      <c r="D17" s="1419" t="s">
        <v>1045</v>
      </c>
      <c r="E17" s="318" t="e">
        <f>E16/E15</f>
        <v>#DIV/0!</v>
      </c>
    </row>
    <row r="18" spans="1:5" ht="14.1" customHeight="1" x14ac:dyDescent="0.25"/>
    <row r="19" spans="1:5" ht="14.1" customHeight="1" x14ac:dyDescent="0.25">
      <c r="A19" s="1818" t="s">
        <v>515</v>
      </c>
      <c r="B19" s="17" t="str">
        <f>+B14</f>
        <v>Fall 2003</v>
      </c>
      <c r="C19" s="314" t="s">
        <v>493</v>
      </c>
      <c r="D19" s="314" t="s">
        <v>494</v>
      </c>
      <c r="E19" s="314" t="s">
        <v>495</v>
      </c>
    </row>
    <row r="20" spans="1:5" ht="14.1" customHeight="1" x14ac:dyDescent="0.25">
      <c r="A20" s="1819"/>
      <c r="B20" s="315" t="s">
        <v>496</v>
      </c>
      <c r="C20" s="315">
        <v>0</v>
      </c>
      <c r="D20" s="315">
        <v>3</v>
      </c>
      <c r="E20" s="315">
        <f>SUM(C20:D20)</f>
        <v>3</v>
      </c>
    </row>
    <row r="21" spans="1:5" ht="14.1" customHeight="1" x14ac:dyDescent="0.25">
      <c r="A21" s="1819"/>
      <c r="B21" s="315" t="s">
        <v>497</v>
      </c>
      <c r="C21" s="315">
        <v>0</v>
      </c>
      <c r="D21" s="315">
        <v>2</v>
      </c>
      <c r="E21" s="315">
        <f>SUM(C21:D21)</f>
        <v>2</v>
      </c>
    </row>
    <row r="22" spans="1:5" ht="14.1" customHeight="1" x14ac:dyDescent="0.25">
      <c r="A22" s="1820"/>
      <c r="B22" s="315" t="s">
        <v>498</v>
      </c>
      <c r="C22" s="1419" t="s">
        <v>1045</v>
      </c>
      <c r="D22" s="318">
        <f>D21/D20</f>
        <v>0.66666666666666663</v>
      </c>
      <c r="E22" s="318">
        <f>E21/E20</f>
        <v>0.66666666666666663</v>
      </c>
    </row>
    <row r="23" spans="1:5" ht="14.1" customHeight="1" x14ac:dyDescent="0.25">
      <c r="A23" s="313"/>
      <c r="C23" s="317"/>
      <c r="D23" s="317"/>
      <c r="E23" s="317"/>
    </row>
    <row r="24" spans="1:5" ht="14.1" customHeight="1" x14ac:dyDescent="0.25">
      <c r="A24" s="1818" t="s">
        <v>516</v>
      </c>
      <c r="B24" s="17" t="str">
        <f>+B19</f>
        <v>Fall 2003</v>
      </c>
      <c r="C24" s="314" t="s">
        <v>493</v>
      </c>
      <c r="D24" s="314" t="s">
        <v>494</v>
      </c>
      <c r="E24" s="314" t="s">
        <v>495</v>
      </c>
    </row>
    <row r="25" spans="1:5" ht="14.1" customHeight="1" x14ac:dyDescent="0.25">
      <c r="A25" s="1819"/>
      <c r="B25" s="315" t="s">
        <v>496</v>
      </c>
      <c r="C25" s="315">
        <v>1</v>
      </c>
      <c r="D25" s="315">
        <v>7</v>
      </c>
      <c r="E25" s="315">
        <f>SUM(C25:D25)</f>
        <v>8</v>
      </c>
    </row>
    <row r="26" spans="1:5" ht="14.1" customHeight="1" x14ac:dyDescent="0.25">
      <c r="A26" s="1819"/>
      <c r="B26" s="315" t="s">
        <v>497</v>
      </c>
      <c r="C26" s="315">
        <v>1</v>
      </c>
      <c r="D26" s="315">
        <v>7</v>
      </c>
      <c r="E26" s="315">
        <f>SUM(C26:D26)</f>
        <v>8</v>
      </c>
    </row>
    <row r="27" spans="1:5" ht="14.1" customHeight="1" x14ac:dyDescent="0.25">
      <c r="A27" s="1820"/>
      <c r="B27" s="315" t="s">
        <v>498</v>
      </c>
      <c r="C27" s="318">
        <f>C26/C25</f>
        <v>1</v>
      </c>
      <c r="D27" s="316">
        <f>D26/D25</f>
        <v>1</v>
      </c>
      <c r="E27" s="318">
        <f>E26/E25</f>
        <v>1</v>
      </c>
    </row>
    <row r="29" spans="1:5" ht="26.1" customHeight="1" x14ac:dyDescent="0.25">
      <c r="A29" s="1821" t="s">
        <v>580</v>
      </c>
      <c r="B29" s="1821"/>
      <c r="C29" s="1821"/>
      <c r="D29" s="1821"/>
      <c r="E29" s="1821"/>
    </row>
  </sheetData>
  <mergeCells count="8">
    <mergeCell ref="A24:A27"/>
    <mergeCell ref="A29:E29"/>
    <mergeCell ref="A1:E1"/>
    <mergeCell ref="A2:E2"/>
    <mergeCell ref="A4:A7"/>
    <mergeCell ref="A9:A12"/>
    <mergeCell ref="A14:A17"/>
    <mergeCell ref="A19:A22"/>
  </mergeCells>
  <phoneticPr fontId="15" type="noConversion"/>
  <printOptions horizontalCentered="1" verticalCentered="1"/>
  <pageMargins left="0.75" right="0.75" top="1" bottom="1" header="0.5" footer="0.5"/>
  <pageSetup orientation="portrait" horizontalDpi="300" verticalDpi="300" r:id="rId1"/>
  <headerFooter alignWithMargins="0">
    <oddFooter>&amp;L&amp;7Source: Office of Institutional Research</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workbookViewId="0">
      <selection sqref="A1:E1"/>
    </sheetView>
  </sheetViews>
  <sheetFormatPr defaultRowHeight="13.2" x14ac:dyDescent="0.25"/>
  <cols>
    <col min="2" max="2" width="14.6640625" customWidth="1"/>
  </cols>
  <sheetData>
    <row r="1" spans="1:5" ht="17.399999999999999" x14ac:dyDescent="0.3">
      <c r="A1" s="1701" t="s">
        <v>734</v>
      </c>
      <c r="B1" s="1701"/>
      <c r="C1" s="1701"/>
      <c r="D1" s="1701"/>
      <c r="E1" s="1701"/>
    </row>
    <row r="2" spans="1:5" ht="39" customHeight="1" x14ac:dyDescent="0.25">
      <c r="A2" s="1822" t="s">
        <v>489</v>
      </c>
      <c r="B2" s="1822"/>
      <c r="C2" s="1822"/>
      <c r="D2" s="1822"/>
      <c r="E2" s="1822"/>
    </row>
    <row r="4" spans="1:5" ht="14.1" customHeight="1" x14ac:dyDescent="0.25">
      <c r="A4" s="1818" t="s">
        <v>492</v>
      </c>
      <c r="B4" s="17" t="s">
        <v>1486</v>
      </c>
      <c r="C4" s="314" t="s">
        <v>493</v>
      </c>
      <c r="D4" s="314" t="s">
        <v>494</v>
      </c>
      <c r="E4" s="314" t="s">
        <v>495</v>
      </c>
    </row>
    <row r="5" spans="1:5" ht="14.1" customHeight="1" x14ac:dyDescent="0.25">
      <c r="A5" s="1819"/>
      <c r="B5" s="315" t="s">
        <v>496</v>
      </c>
      <c r="C5" s="315">
        <v>207</v>
      </c>
      <c r="D5" s="315">
        <v>440</v>
      </c>
      <c r="E5" s="315">
        <f>SUM(C5:D5)</f>
        <v>647</v>
      </c>
    </row>
    <row r="6" spans="1:5" ht="14.1" customHeight="1" x14ac:dyDescent="0.25">
      <c r="A6" s="1819"/>
      <c r="B6" s="315" t="s">
        <v>497</v>
      </c>
      <c r="C6" s="315">
        <v>74</v>
      </c>
      <c r="D6" s="315">
        <v>199</v>
      </c>
      <c r="E6" s="315">
        <f>SUM(C6:D6)</f>
        <v>273</v>
      </c>
    </row>
    <row r="7" spans="1:5" ht="14.1" customHeight="1" x14ac:dyDescent="0.25">
      <c r="A7" s="1820"/>
      <c r="B7" s="315" t="s">
        <v>498</v>
      </c>
      <c r="C7" s="316">
        <f>C6/C5</f>
        <v>0.35748792270531399</v>
      </c>
      <c r="D7" s="316">
        <f>D6/D5</f>
        <v>0.45227272727272727</v>
      </c>
      <c r="E7" s="316">
        <f>E6/E5</f>
        <v>0.42194744976816073</v>
      </c>
    </row>
    <row r="8" spans="1:5" ht="14.1" customHeight="1" x14ac:dyDescent="0.25"/>
    <row r="9" spans="1:5" ht="14.1" customHeight="1" x14ac:dyDescent="0.25">
      <c r="A9" s="1818" t="s">
        <v>499</v>
      </c>
      <c r="B9" s="17" t="str">
        <f>+B4</f>
        <v>Fall 2004</v>
      </c>
      <c r="C9" s="314" t="s">
        <v>493</v>
      </c>
      <c r="D9" s="314" t="s">
        <v>494</v>
      </c>
      <c r="E9" s="314" t="s">
        <v>495</v>
      </c>
    </row>
    <row r="10" spans="1:5" ht="14.1" customHeight="1" x14ac:dyDescent="0.25">
      <c r="A10" s="1819"/>
      <c r="B10" s="315" t="s">
        <v>496</v>
      </c>
      <c r="C10" s="315">
        <v>4</v>
      </c>
      <c r="D10" s="315">
        <v>6</v>
      </c>
      <c r="E10" s="315">
        <f>SUM(C10:D10)</f>
        <v>10</v>
      </c>
    </row>
    <row r="11" spans="1:5" ht="14.1" customHeight="1" x14ac:dyDescent="0.25">
      <c r="A11" s="1819"/>
      <c r="B11" s="315" t="s">
        <v>497</v>
      </c>
      <c r="C11" s="315">
        <v>1</v>
      </c>
      <c r="D11" s="315">
        <v>3</v>
      </c>
      <c r="E11" s="315">
        <f>SUM(C11:D11)</f>
        <v>4</v>
      </c>
    </row>
    <row r="12" spans="1:5" ht="15" customHeight="1" x14ac:dyDescent="0.25">
      <c r="A12" s="1820"/>
      <c r="B12" s="315" t="s">
        <v>498</v>
      </c>
      <c r="C12" s="318">
        <f>C11/C10</f>
        <v>0.25</v>
      </c>
      <c r="D12" s="318">
        <f>D11/D10</f>
        <v>0.5</v>
      </c>
      <c r="E12" s="318">
        <f>E11/E10</f>
        <v>0.4</v>
      </c>
    </row>
    <row r="13" spans="1:5" ht="14.1" customHeight="1" x14ac:dyDescent="0.25">
      <c r="A13" s="313"/>
      <c r="C13" s="319"/>
      <c r="D13" s="317"/>
      <c r="E13" s="317"/>
    </row>
    <row r="14" spans="1:5" ht="14.1" customHeight="1" x14ac:dyDescent="0.25">
      <c r="A14" s="1818" t="s">
        <v>11</v>
      </c>
      <c r="B14" s="17" t="str">
        <f>+B9</f>
        <v>Fall 2004</v>
      </c>
      <c r="C14" s="314" t="s">
        <v>493</v>
      </c>
      <c r="D14" s="314" t="s">
        <v>494</v>
      </c>
      <c r="E14" s="314" t="s">
        <v>495</v>
      </c>
    </row>
    <row r="15" spans="1:5" ht="14.1" customHeight="1" x14ac:dyDescent="0.25">
      <c r="A15" s="1819"/>
      <c r="B15" s="315" t="s">
        <v>496</v>
      </c>
      <c r="C15" s="315">
        <v>12</v>
      </c>
      <c r="D15" s="315">
        <v>0</v>
      </c>
      <c r="E15" s="315">
        <f>SUM(C15:D15)</f>
        <v>12</v>
      </c>
    </row>
    <row r="16" spans="1:5" ht="14.1" customHeight="1" x14ac:dyDescent="0.25">
      <c r="A16" s="1819"/>
      <c r="B16" s="315" t="s">
        <v>497</v>
      </c>
      <c r="C16" s="315">
        <v>6</v>
      </c>
      <c r="D16" s="315">
        <v>0</v>
      </c>
      <c r="E16" s="315">
        <f>SUM(C16:D16)</f>
        <v>6</v>
      </c>
    </row>
    <row r="17" spans="1:5" ht="14.1" customHeight="1" x14ac:dyDescent="0.25">
      <c r="A17" s="1820"/>
      <c r="B17" s="315" t="s">
        <v>498</v>
      </c>
      <c r="C17" s="318">
        <f>C16/C15</f>
        <v>0.5</v>
      </c>
      <c r="D17" s="1419" t="s">
        <v>1045</v>
      </c>
      <c r="E17" s="318">
        <f>E16/E15</f>
        <v>0.5</v>
      </c>
    </row>
    <row r="18" spans="1:5" ht="14.1" customHeight="1" x14ac:dyDescent="0.25"/>
    <row r="19" spans="1:5" ht="14.1" customHeight="1" x14ac:dyDescent="0.25">
      <c r="A19" s="1818" t="s">
        <v>515</v>
      </c>
      <c r="B19" s="17" t="str">
        <f>+B14</f>
        <v>Fall 2004</v>
      </c>
      <c r="C19" s="314" t="s">
        <v>493</v>
      </c>
      <c r="D19" s="314" t="s">
        <v>494</v>
      </c>
      <c r="E19" s="314" t="s">
        <v>495</v>
      </c>
    </row>
    <row r="20" spans="1:5" ht="14.1" customHeight="1" x14ac:dyDescent="0.25">
      <c r="A20" s="1819"/>
      <c r="B20" s="315" t="s">
        <v>496</v>
      </c>
      <c r="C20" s="315">
        <v>0</v>
      </c>
      <c r="D20" s="315">
        <v>5</v>
      </c>
      <c r="E20" s="315">
        <f>SUM(C20:D20)</f>
        <v>5</v>
      </c>
    </row>
    <row r="21" spans="1:5" ht="14.1" customHeight="1" x14ac:dyDescent="0.25">
      <c r="A21" s="1819"/>
      <c r="B21" s="315" t="s">
        <v>497</v>
      </c>
      <c r="C21" s="315">
        <v>0</v>
      </c>
      <c r="D21" s="315">
        <v>2</v>
      </c>
      <c r="E21" s="315">
        <f>SUM(C21:D21)</f>
        <v>2</v>
      </c>
    </row>
    <row r="22" spans="1:5" ht="14.1" customHeight="1" x14ac:dyDescent="0.25">
      <c r="A22" s="1820"/>
      <c r="B22" s="315" t="s">
        <v>498</v>
      </c>
      <c r="C22" s="1419" t="s">
        <v>1045</v>
      </c>
      <c r="D22" s="318">
        <f>D21/D20</f>
        <v>0.4</v>
      </c>
      <c r="E22" s="318">
        <f>E21/E20</f>
        <v>0.4</v>
      </c>
    </row>
    <row r="23" spans="1:5" ht="14.1" customHeight="1" x14ac:dyDescent="0.25">
      <c r="A23" s="313"/>
      <c r="C23" s="317"/>
      <c r="D23" s="317"/>
      <c r="E23" s="317"/>
    </row>
    <row r="24" spans="1:5" ht="14.1" customHeight="1" x14ac:dyDescent="0.25">
      <c r="A24" s="1818" t="s">
        <v>516</v>
      </c>
      <c r="B24" s="17" t="str">
        <f>+B19</f>
        <v>Fall 2004</v>
      </c>
      <c r="C24" s="314" t="s">
        <v>493</v>
      </c>
      <c r="D24" s="314" t="s">
        <v>494</v>
      </c>
      <c r="E24" s="314" t="s">
        <v>495</v>
      </c>
    </row>
    <row r="25" spans="1:5" ht="14.1" customHeight="1" x14ac:dyDescent="0.25">
      <c r="A25" s="1819"/>
      <c r="B25" s="315" t="s">
        <v>496</v>
      </c>
      <c r="C25" s="315">
        <v>16</v>
      </c>
      <c r="D25" s="315">
        <v>19</v>
      </c>
      <c r="E25" s="315">
        <f>SUM(C25:D25)</f>
        <v>35</v>
      </c>
    </row>
    <row r="26" spans="1:5" ht="14.1" customHeight="1" x14ac:dyDescent="0.25">
      <c r="A26" s="1819"/>
      <c r="B26" s="315" t="s">
        <v>497</v>
      </c>
      <c r="C26" s="315">
        <v>9</v>
      </c>
      <c r="D26" s="315">
        <v>12</v>
      </c>
      <c r="E26" s="315">
        <f>SUM(C26:D26)</f>
        <v>21</v>
      </c>
    </row>
    <row r="27" spans="1:5" ht="14.1" customHeight="1" x14ac:dyDescent="0.25">
      <c r="A27" s="1820"/>
      <c r="B27" s="315" t="s">
        <v>498</v>
      </c>
      <c r="C27" s="318">
        <f>C26/C25</f>
        <v>0.5625</v>
      </c>
      <c r="D27" s="316">
        <f>D26/D25</f>
        <v>0.63157894736842102</v>
      </c>
      <c r="E27" s="318">
        <f>E26/E25</f>
        <v>0.6</v>
      </c>
    </row>
    <row r="29" spans="1:5" ht="26.1" customHeight="1" x14ac:dyDescent="0.25">
      <c r="A29" s="1821" t="s">
        <v>580</v>
      </c>
      <c r="B29" s="1821"/>
      <c r="C29" s="1821"/>
      <c r="D29" s="1821"/>
      <c r="E29" s="1821"/>
    </row>
  </sheetData>
  <mergeCells count="8">
    <mergeCell ref="A24:A27"/>
    <mergeCell ref="A29:E29"/>
    <mergeCell ref="A1:E1"/>
    <mergeCell ref="A2:E2"/>
    <mergeCell ref="A4:A7"/>
    <mergeCell ref="A9:A12"/>
    <mergeCell ref="A14:A17"/>
    <mergeCell ref="A19:A22"/>
  </mergeCells>
  <printOptions horizontalCentered="1" verticalCentered="1"/>
  <pageMargins left="0.75" right="0.75" top="1" bottom="1" header="0.5" footer="0.5"/>
  <pageSetup orientation="portrait" horizontalDpi="300" verticalDpi="300" r:id="rId1"/>
  <headerFooter alignWithMargins="0">
    <oddFooter>&amp;L&amp;7Source: Office of Institutional Research</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workbookViewId="0">
      <selection sqref="A1:E1"/>
    </sheetView>
  </sheetViews>
  <sheetFormatPr defaultRowHeight="13.2" x14ac:dyDescent="0.25"/>
  <cols>
    <col min="2" max="2" width="14.6640625" customWidth="1"/>
  </cols>
  <sheetData>
    <row r="1" spans="1:5" ht="17.399999999999999" x14ac:dyDescent="0.3">
      <c r="A1" s="1701" t="s">
        <v>734</v>
      </c>
      <c r="B1" s="1701"/>
      <c r="C1" s="1701"/>
      <c r="D1" s="1701"/>
      <c r="E1" s="1701"/>
    </row>
    <row r="2" spans="1:5" ht="39" customHeight="1" x14ac:dyDescent="0.25">
      <c r="A2" s="1822" t="s">
        <v>489</v>
      </c>
      <c r="B2" s="1822"/>
      <c r="C2" s="1822"/>
      <c r="D2" s="1822"/>
      <c r="E2" s="1822"/>
    </row>
    <row r="4" spans="1:5" ht="14.1" customHeight="1" x14ac:dyDescent="0.25">
      <c r="A4" s="1818" t="s">
        <v>492</v>
      </c>
      <c r="B4" s="17" t="s">
        <v>1485</v>
      </c>
      <c r="C4" s="314" t="s">
        <v>493</v>
      </c>
      <c r="D4" s="314" t="s">
        <v>494</v>
      </c>
      <c r="E4" s="314" t="s">
        <v>495</v>
      </c>
    </row>
    <row r="5" spans="1:5" ht="14.1" customHeight="1" x14ac:dyDescent="0.25">
      <c r="A5" s="1819"/>
      <c r="B5" s="315" t="s">
        <v>496</v>
      </c>
      <c r="C5" s="315">
        <v>186</v>
      </c>
      <c r="D5" s="315">
        <v>369</v>
      </c>
      <c r="E5" s="315">
        <f>SUM(C5:D5)</f>
        <v>555</v>
      </c>
    </row>
    <row r="6" spans="1:5" ht="14.1" customHeight="1" x14ac:dyDescent="0.25">
      <c r="A6" s="1819"/>
      <c r="B6" s="315" t="s">
        <v>497</v>
      </c>
      <c r="C6" s="315">
        <v>67</v>
      </c>
      <c r="D6" s="315">
        <v>138</v>
      </c>
      <c r="E6" s="315">
        <f>SUM(C6:D6)</f>
        <v>205</v>
      </c>
    </row>
    <row r="7" spans="1:5" ht="14.1" customHeight="1" x14ac:dyDescent="0.25">
      <c r="A7" s="1820"/>
      <c r="B7" s="315" t="s">
        <v>498</v>
      </c>
      <c r="C7" s="316">
        <f>C6/C5</f>
        <v>0.36021505376344087</v>
      </c>
      <c r="D7" s="316">
        <f>D6/D5</f>
        <v>0.37398373983739835</v>
      </c>
      <c r="E7" s="316">
        <f>E6/E5</f>
        <v>0.36936936936936937</v>
      </c>
    </row>
    <row r="8" spans="1:5" ht="14.1" customHeight="1" x14ac:dyDescent="0.25"/>
    <row r="9" spans="1:5" ht="14.1" customHeight="1" x14ac:dyDescent="0.25">
      <c r="A9" s="1818" t="s">
        <v>499</v>
      </c>
      <c r="B9" s="17" t="str">
        <f>+B4</f>
        <v>Fall 2005</v>
      </c>
      <c r="C9" s="314" t="s">
        <v>493</v>
      </c>
      <c r="D9" s="314" t="s">
        <v>494</v>
      </c>
      <c r="E9" s="314" t="s">
        <v>495</v>
      </c>
    </row>
    <row r="10" spans="1:5" ht="14.1" customHeight="1" x14ac:dyDescent="0.25">
      <c r="A10" s="1819"/>
      <c r="B10" s="315" t="s">
        <v>496</v>
      </c>
      <c r="C10" s="315">
        <v>2</v>
      </c>
      <c r="D10" s="315">
        <v>3</v>
      </c>
      <c r="E10" s="315">
        <f>SUM(C10:D10)</f>
        <v>5</v>
      </c>
    </row>
    <row r="11" spans="1:5" ht="14.1" customHeight="1" x14ac:dyDescent="0.25">
      <c r="A11" s="1819"/>
      <c r="B11" s="315" t="s">
        <v>497</v>
      </c>
      <c r="C11" s="315">
        <v>1</v>
      </c>
      <c r="D11" s="315">
        <v>2</v>
      </c>
      <c r="E11" s="315">
        <f>SUM(C11:D11)</f>
        <v>3</v>
      </c>
    </row>
    <row r="12" spans="1:5" ht="14.25" customHeight="1" x14ac:dyDescent="0.25">
      <c r="A12" s="1820"/>
      <c r="B12" s="315" t="s">
        <v>498</v>
      </c>
      <c r="C12" s="318">
        <f>C11/C10</f>
        <v>0.5</v>
      </c>
      <c r="D12" s="318">
        <f>D11/D10</f>
        <v>0.66666666666666663</v>
      </c>
      <c r="E12" s="318">
        <f>E11/E10</f>
        <v>0.6</v>
      </c>
    </row>
    <row r="13" spans="1:5" ht="14.1" customHeight="1" x14ac:dyDescent="0.25">
      <c r="A13" s="313"/>
      <c r="C13" s="319"/>
      <c r="D13" s="317"/>
      <c r="E13" s="317"/>
    </row>
    <row r="14" spans="1:5" ht="14.1" customHeight="1" x14ac:dyDescent="0.25">
      <c r="A14" s="1818" t="s">
        <v>11</v>
      </c>
      <c r="B14" s="17" t="str">
        <f>+B9</f>
        <v>Fall 2005</v>
      </c>
      <c r="C14" s="314" t="s">
        <v>493</v>
      </c>
      <c r="D14" s="314" t="s">
        <v>494</v>
      </c>
      <c r="E14" s="314" t="s">
        <v>495</v>
      </c>
    </row>
    <row r="15" spans="1:5" ht="14.1" customHeight="1" x14ac:dyDescent="0.25">
      <c r="A15" s="1819"/>
      <c r="B15" s="315" t="s">
        <v>496</v>
      </c>
      <c r="C15" s="315">
        <v>1</v>
      </c>
      <c r="D15" s="315">
        <v>0</v>
      </c>
      <c r="E15" s="315">
        <f>SUM(C15:D15)</f>
        <v>1</v>
      </c>
    </row>
    <row r="16" spans="1:5" ht="14.1" customHeight="1" x14ac:dyDescent="0.25">
      <c r="A16" s="1819"/>
      <c r="B16" s="315" t="s">
        <v>497</v>
      </c>
      <c r="C16" s="315">
        <v>1</v>
      </c>
      <c r="D16" s="315">
        <v>0</v>
      </c>
      <c r="E16" s="315">
        <f>SUM(C16:D16)</f>
        <v>1</v>
      </c>
    </row>
    <row r="17" spans="1:5" ht="14.1" customHeight="1" x14ac:dyDescent="0.25">
      <c r="A17" s="1820"/>
      <c r="B17" s="315" t="s">
        <v>498</v>
      </c>
      <c r="C17" s="318">
        <f>C16/C15</f>
        <v>1</v>
      </c>
      <c r="D17" s="1419" t="s">
        <v>1045</v>
      </c>
      <c r="E17" s="318">
        <f>E16/E15</f>
        <v>1</v>
      </c>
    </row>
    <row r="18" spans="1:5" ht="14.1" customHeight="1" x14ac:dyDescent="0.25"/>
    <row r="19" spans="1:5" ht="14.1" customHeight="1" x14ac:dyDescent="0.25">
      <c r="A19" s="1818" t="s">
        <v>515</v>
      </c>
      <c r="B19" s="17" t="str">
        <f>+B14</f>
        <v>Fall 2005</v>
      </c>
      <c r="C19" s="314" t="s">
        <v>493</v>
      </c>
      <c r="D19" s="314" t="s">
        <v>494</v>
      </c>
      <c r="E19" s="314" t="s">
        <v>495</v>
      </c>
    </row>
    <row r="20" spans="1:5" ht="14.1" customHeight="1" x14ac:dyDescent="0.25">
      <c r="A20" s="1819"/>
      <c r="B20" s="315" t="s">
        <v>496</v>
      </c>
      <c r="C20" s="315">
        <v>0</v>
      </c>
      <c r="D20" s="315">
        <v>2</v>
      </c>
      <c r="E20" s="315">
        <f>SUM(C20:D20)</f>
        <v>2</v>
      </c>
    </row>
    <row r="21" spans="1:5" ht="14.1" customHeight="1" x14ac:dyDescent="0.25">
      <c r="A21" s="1819"/>
      <c r="B21" s="315" t="s">
        <v>497</v>
      </c>
      <c r="C21" s="315">
        <v>0</v>
      </c>
      <c r="D21" s="315">
        <v>2</v>
      </c>
      <c r="E21" s="315">
        <f>SUM(C21:D21)</f>
        <v>2</v>
      </c>
    </row>
    <row r="22" spans="1:5" ht="14.1" customHeight="1" x14ac:dyDescent="0.25">
      <c r="A22" s="1820"/>
      <c r="B22" s="315" t="s">
        <v>498</v>
      </c>
      <c r="C22" s="1419" t="s">
        <v>1045</v>
      </c>
      <c r="D22" s="318">
        <f>D21/D20</f>
        <v>1</v>
      </c>
      <c r="E22" s="318">
        <f>E21/E20</f>
        <v>1</v>
      </c>
    </row>
    <row r="23" spans="1:5" ht="14.1" customHeight="1" x14ac:dyDescent="0.25">
      <c r="A23" s="313"/>
      <c r="C23" s="317"/>
      <c r="D23" s="317"/>
      <c r="E23" s="317"/>
    </row>
    <row r="24" spans="1:5" ht="14.1" customHeight="1" x14ac:dyDescent="0.25">
      <c r="A24" s="1818" t="s">
        <v>516</v>
      </c>
      <c r="B24" s="17" t="str">
        <f>+B19</f>
        <v>Fall 2005</v>
      </c>
      <c r="C24" s="314" t="s">
        <v>493</v>
      </c>
      <c r="D24" s="314" t="s">
        <v>494</v>
      </c>
      <c r="E24" s="314" t="s">
        <v>495</v>
      </c>
    </row>
    <row r="25" spans="1:5" ht="14.1" customHeight="1" x14ac:dyDescent="0.25">
      <c r="A25" s="1819"/>
      <c r="B25" s="315" t="s">
        <v>496</v>
      </c>
      <c r="C25" s="315">
        <v>8</v>
      </c>
      <c r="D25" s="315">
        <v>3</v>
      </c>
      <c r="E25" s="315">
        <f>SUM(C25:D25)</f>
        <v>11</v>
      </c>
    </row>
    <row r="26" spans="1:5" ht="14.1" customHeight="1" x14ac:dyDescent="0.25">
      <c r="A26" s="1819"/>
      <c r="B26" s="315" t="s">
        <v>497</v>
      </c>
      <c r="C26" s="315">
        <v>6</v>
      </c>
      <c r="D26" s="315">
        <v>3</v>
      </c>
      <c r="E26" s="315">
        <f>SUM(C26:D26)</f>
        <v>9</v>
      </c>
    </row>
    <row r="27" spans="1:5" ht="14.1" customHeight="1" x14ac:dyDescent="0.25">
      <c r="A27" s="1820"/>
      <c r="B27" s="315" t="s">
        <v>498</v>
      </c>
      <c r="C27" s="318">
        <f>C26/C25</f>
        <v>0.75</v>
      </c>
      <c r="D27" s="316">
        <f>D26/D25</f>
        <v>1</v>
      </c>
      <c r="E27" s="318">
        <f>E26/E25</f>
        <v>0.81818181818181823</v>
      </c>
    </row>
    <row r="29" spans="1:5" ht="26.1" customHeight="1" x14ac:dyDescent="0.25">
      <c r="A29" s="1821" t="s">
        <v>580</v>
      </c>
      <c r="B29" s="1821"/>
      <c r="C29" s="1821"/>
      <c r="D29" s="1821"/>
      <c r="E29" s="1821"/>
    </row>
  </sheetData>
  <mergeCells count="8">
    <mergeCell ref="A24:A27"/>
    <mergeCell ref="A29:E29"/>
    <mergeCell ref="A1:E1"/>
    <mergeCell ref="A2:E2"/>
    <mergeCell ref="A4:A7"/>
    <mergeCell ref="A9:A12"/>
    <mergeCell ref="A14:A17"/>
    <mergeCell ref="A19:A22"/>
  </mergeCells>
  <printOptions horizontalCentered="1" verticalCentered="1"/>
  <pageMargins left="0.75" right="0.75" top="1" bottom="1" header="0.5" footer="0.5"/>
  <pageSetup orientation="portrait" horizontalDpi="300" verticalDpi="300" r:id="rId1"/>
  <headerFooter alignWithMargins="0">
    <oddFooter>&amp;L&amp;7Source: Office of Institutional Research</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workbookViewId="0">
      <selection sqref="A1:E1"/>
    </sheetView>
  </sheetViews>
  <sheetFormatPr defaultRowHeight="13.2" x14ac:dyDescent="0.25"/>
  <cols>
    <col min="2" max="2" width="14.6640625" customWidth="1"/>
  </cols>
  <sheetData>
    <row r="1" spans="1:5" ht="17.399999999999999" x14ac:dyDescent="0.3">
      <c r="A1" s="1701" t="s">
        <v>734</v>
      </c>
      <c r="B1" s="1701"/>
      <c r="C1" s="1701"/>
      <c r="D1" s="1701"/>
      <c r="E1" s="1701"/>
    </row>
    <row r="2" spans="1:5" ht="39" customHeight="1" x14ac:dyDescent="0.25">
      <c r="A2" s="1822" t="s">
        <v>489</v>
      </c>
      <c r="B2" s="1822"/>
      <c r="C2" s="1822"/>
      <c r="D2" s="1822"/>
      <c r="E2" s="1822"/>
    </row>
    <row r="4" spans="1:5" ht="14.1" customHeight="1" x14ac:dyDescent="0.25">
      <c r="A4" s="1818" t="s">
        <v>492</v>
      </c>
      <c r="B4" s="17" t="s">
        <v>1429</v>
      </c>
      <c r="C4" s="314" t="s">
        <v>493</v>
      </c>
      <c r="D4" s="314" t="s">
        <v>494</v>
      </c>
      <c r="E4" s="314" t="s">
        <v>495</v>
      </c>
    </row>
    <row r="5" spans="1:5" ht="14.1" customHeight="1" x14ac:dyDescent="0.25">
      <c r="A5" s="1819"/>
      <c r="B5" s="315" t="s">
        <v>496</v>
      </c>
      <c r="C5" s="315">
        <v>199</v>
      </c>
      <c r="D5" s="315">
        <v>379</v>
      </c>
      <c r="E5" s="315">
        <f>SUM(C5:D5)</f>
        <v>578</v>
      </c>
    </row>
    <row r="6" spans="1:5" ht="14.1" customHeight="1" x14ac:dyDescent="0.25">
      <c r="A6" s="1819"/>
      <c r="B6" s="315" t="s">
        <v>497</v>
      </c>
      <c r="C6" s="315">
        <v>73</v>
      </c>
      <c r="D6" s="315">
        <v>161</v>
      </c>
      <c r="E6" s="315">
        <f>SUM(C6:D6)</f>
        <v>234</v>
      </c>
    </row>
    <row r="7" spans="1:5" ht="14.1" customHeight="1" x14ac:dyDescent="0.25">
      <c r="A7" s="1820"/>
      <c r="B7" s="315" t="s">
        <v>498</v>
      </c>
      <c r="C7" s="316">
        <f>C6/C5</f>
        <v>0.36683417085427134</v>
      </c>
      <c r="D7" s="316">
        <f>D6/D5</f>
        <v>0.42480211081794195</v>
      </c>
      <c r="E7" s="316">
        <f>E6/E5</f>
        <v>0.40484429065743943</v>
      </c>
    </row>
    <row r="8" spans="1:5" ht="14.1" customHeight="1" x14ac:dyDescent="0.25"/>
    <row r="9" spans="1:5" ht="14.1" customHeight="1" x14ac:dyDescent="0.25">
      <c r="A9" s="1818" t="s">
        <v>499</v>
      </c>
      <c r="B9" s="17" t="str">
        <f>+B4</f>
        <v>Fall 2006</v>
      </c>
      <c r="C9" s="314" t="s">
        <v>493</v>
      </c>
      <c r="D9" s="314" t="s">
        <v>494</v>
      </c>
      <c r="E9" s="314" t="s">
        <v>495</v>
      </c>
    </row>
    <row r="10" spans="1:5" ht="14.1" customHeight="1" x14ac:dyDescent="0.25">
      <c r="A10" s="1819"/>
      <c r="B10" s="315" t="s">
        <v>496</v>
      </c>
      <c r="C10" s="315">
        <v>5</v>
      </c>
      <c r="D10" s="315">
        <v>6</v>
      </c>
      <c r="E10" s="315">
        <f>SUM(C10:D10)</f>
        <v>11</v>
      </c>
    </row>
    <row r="11" spans="1:5" ht="14.1" customHeight="1" x14ac:dyDescent="0.25">
      <c r="A11" s="1819"/>
      <c r="B11" s="315" t="s">
        <v>497</v>
      </c>
      <c r="C11" s="315">
        <v>1</v>
      </c>
      <c r="D11" s="315">
        <v>0</v>
      </c>
      <c r="E11" s="315">
        <f>SUM(C11:D11)</f>
        <v>1</v>
      </c>
    </row>
    <row r="12" spans="1:5" ht="14.25" customHeight="1" x14ac:dyDescent="0.25">
      <c r="A12" s="1820"/>
      <c r="B12" s="315" t="s">
        <v>498</v>
      </c>
      <c r="C12" s="318">
        <f>C11/C10</f>
        <v>0.2</v>
      </c>
      <c r="D12" s="318">
        <f>D11/D10</f>
        <v>0</v>
      </c>
      <c r="E12" s="318">
        <f>E11/E10</f>
        <v>9.0909090909090912E-2</v>
      </c>
    </row>
    <row r="13" spans="1:5" ht="14.1" customHeight="1" x14ac:dyDescent="0.25">
      <c r="A13" s="313"/>
      <c r="C13" s="319"/>
      <c r="D13" s="317"/>
      <c r="E13" s="317"/>
    </row>
    <row r="14" spans="1:5" ht="14.1" customHeight="1" x14ac:dyDescent="0.25">
      <c r="A14" s="1818" t="s">
        <v>11</v>
      </c>
      <c r="B14" s="17" t="str">
        <f>+B9</f>
        <v>Fall 2006</v>
      </c>
      <c r="C14" s="314" t="s">
        <v>493</v>
      </c>
      <c r="D14" s="314" t="s">
        <v>494</v>
      </c>
      <c r="E14" s="314" t="s">
        <v>495</v>
      </c>
    </row>
    <row r="15" spans="1:5" ht="14.1" customHeight="1" x14ac:dyDescent="0.25">
      <c r="A15" s="1819"/>
      <c r="B15" s="315" t="s">
        <v>496</v>
      </c>
      <c r="C15" s="315">
        <v>3</v>
      </c>
      <c r="D15" s="315">
        <v>0</v>
      </c>
      <c r="E15" s="315">
        <f>SUM(C15:D15)</f>
        <v>3</v>
      </c>
    </row>
    <row r="16" spans="1:5" ht="14.1" customHeight="1" x14ac:dyDescent="0.25">
      <c r="A16" s="1819"/>
      <c r="B16" s="315" t="s">
        <v>497</v>
      </c>
      <c r="C16" s="315">
        <v>0</v>
      </c>
      <c r="D16" s="315">
        <v>0</v>
      </c>
      <c r="E16" s="315">
        <f>SUM(C16:D16)</f>
        <v>0</v>
      </c>
    </row>
    <row r="17" spans="1:5" ht="14.1" customHeight="1" x14ac:dyDescent="0.25">
      <c r="A17" s="1820"/>
      <c r="B17" s="315" t="s">
        <v>498</v>
      </c>
      <c r="C17" s="318">
        <f>C16/C15</f>
        <v>0</v>
      </c>
      <c r="D17" s="1419" t="s">
        <v>1045</v>
      </c>
      <c r="E17" s="318">
        <f>E16/E15</f>
        <v>0</v>
      </c>
    </row>
    <row r="18" spans="1:5" ht="14.1" customHeight="1" x14ac:dyDescent="0.25"/>
    <row r="19" spans="1:5" ht="14.1" customHeight="1" x14ac:dyDescent="0.25">
      <c r="A19" s="1818" t="s">
        <v>515</v>
      </c>
      <c r="B19" s="17" t="str">
        <f>+B14</f>
        <v>Fall 2006</v>
      </c>
      <c r="C19" s="314" t="s">
        <v>493</v>
      </c>
      <c r="D19" s="314" t="s">
        <v>494</v>
      </c>
      <c r="E19" s="314" t="s">
        <v>495</v>
      </c>
    </row>
    <row r="20" spans="1:5" ht="14.1" customHeight="1" x14ac:dyDescent="0.25">
      <c r="A20" s="1819"/>
      <c r="B20" s="315" t="s">
        <v>496</v>
      </c>
      <c r="C20" s="315">
        <v>0</v>
      </c>
      <c r="D20" s="315">
        <v>1</v>
      </c>
      <c r="E20" s="315">
        <f>SUM(C20:D20)</f>
        <v>1</v>
      </c>
    </row>
    <row r="21" spans="1:5" ht="14.1" customHeight="1" x14ac:dyDescent="0.25">
      <c r="A21" s="1819"/>
      <c r="B21" s="315" t="s">
        <v>497</v>
      </c>
      <c r="C21" s="315">
        <v>0</v>
      </c>
      <c r="D21" s="315">
        <v>1</v>
      </c>
      <c r="E21" s="315">
        <f>SUM(C21:D21)</f>
        <v>1</v>
      </c>
    </row>
    <row r="22" spans="1:5" ht="14.1" customHeight="1" x14ac:dyDescent="0.25">
      <c r="A22" s="1820"/>
      <c r="B22" s="315" t="s">
        <v>498</v>
      </c>
      <c r="C22" s="1419" t="s">
        <v>1045</v>
      </c>
      <c r="D22" s="318">
        <f>D21/D20</f>
        <v>1</v>
      </c>
      <c r="E22" s="318">
        <f>E21/E20</f>
        <v>1</v>
      </c>
    </row>
    <row r="23" spans="1:5" ht="14.1" customHeight="1" x14ac:dyDescent="0.25">
      <c r="A23" s="313"/>
      <c r="C23" s="317"/>
      <c r="D23" s="317"/>
      <c r="E23" s="317"/>
    </row>
    <row r="24" spans="1:5" ht="14.1" customHeight="1" x14ac:dyDescent="0.25">
      <c r="A24" s="1818" t="s">
        <v>516</v>
      </c>
      <c r="B24" s="17" t="str">
        <f>+B19</f>
        <v>Fall 2006</v>
      </c>
      <c r="C24" s="314" t="s">
        <v>493</v>
      </c>
      <c r="D24" s="314" t="s">
        <v>494</v>
      </c>
      <c r="E24" s="314" t="s">
        <v>495</v>
      </c>
    </row>
    <row r="25" spans="1:5" ht="14.1" customHeight="1" x14ac:dyDescent="0.25">
      <c r="A25" s="1819"/>
      <c r="B25" s="315" t="s">
        <v>496</v>
      </c>
      <c r="C25" s="315">
        <v>9</v>
      </c>
      <c r="D25" s="315">
        <v>15</v>
      </c>
      <c r="E25" s="315">
        <f>SUM(C25:D25)</f>
        <v>24</v>
      </c>
    </row>
    <row r="26" spans="1:5" ht="14.1" customHeight="1" x14ac:dyDescent="0.25">
      <c r="A26" s="1819"/>
      <c r="B26" s="315" t="s">
        <v>497</v>
      </c>
      <c r="C26" s="315">
        <v>8</v>
      </c>
      <c r="D26" s="315">
        <v>7</v>
      </c>
      <c r="E26" s="315">
        <f>SUM(C26:D26)</f>
        <v>15</v>
      </c>
    </row>
    <row r="27" spans="1:5" ht="14.1" customHeight="1" x14ac:dyDescent="0.25">
      <c r="A27" s="1820"/>
      <c r="B27" s="315" t="s">
        <v>498</v>
      </c>
      <c r="C27" s="318">
        <f>C26/C25</f>
        <v>0.88888888888888884</v>
      </c>
      <c r="D27" s="316">
        <f>D26/D25</f>
        <v>0.46666666666666667</v>
      </c>
      <c r="E27" s="318">
        <f>E26/E25</f>
        <v>0.625</v>
      </c>
    </row>
    <row r="29" spans="1:5" ht="26.1" customHeight="1" x14ac:dyDescent="0.25">
      <c r="A29" s="1821" t="s">
        <v>580</v>
      </c>
      <c r="B29" s="1821"/>
      <c r="C29" s="1821"/>
      <c r="D29" s="1821"/>
      <c r="E29" s="1821"/>
    </row>
  </sheetData>
  <mergeCells count="8">
    <mergeCell ref="A24:A27"/>
    <mergeCell ref="A29:E29"/>
    <mergeCell ref="A1:E1"/>
    <mergeCell ref="A2:E2"/>
    <mergeCell ref="A4:A7"/>
    <mergeCell ref="A9:A12"/>
    <mergeCell ref="A14:A17"/>
    <mergeCell ref="A19:A22"/>
  </mergeCells>
  <printOptions horizontalCentered="1" verticalCentered="1"/>
  <pageMargins left="0.75" right="0.75" top="1" bottom="1" header="0.5" footer="0.5"/>
  <pageSetup orientation="portrait" horizontalDpi="300" verticalDpi="300" r:id="rId1"/>
  <headerFooter alignWithMargins="0">
    <oddFooter>&amp;L&amp;7Source: Office of Institutional Research</oddFooter>
  </headerFooter>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7"/>
  <dimension ref="A1:E29"/>
  <sheetViews>
    <sheetView workbookViewId="0">
      <selection sqref="A1:E1"/>
    </sheetView>
  </sheetViews>
  <sheetFormatPr defaultRowHeight="13.2" x14ac:dyDescent="0.25"/>
  <cols>
    <col min="2" max="2" width="14.6640625" customWidth="1"/>
    <col min="3" max="5" width="9.33203125" bestFit="1" customWidth="1"/>
  </cols>
  <sheetData>
    <row r="1" spans="1:5" ht="17.399999999999999" x14ac:dyDescent="0.3">
      <c r="A1" s="1701" t="s">
        <v>734</v>
      </c>
      <c r="B1" s="1701"/>
      <c r="C1" s="1701"/>
      <c r="D1" s="1701"/>
      <c r="E1" s="1701"/>
    </row>
    <row r="2" spans="1:5" ht="39" customHeight="1" x14ac:dyDescent="0.25">
      <c r="A2" s="1822" t="s">
        <v>489</v>
      </c>
      <c r="B2" s="1822"/>
      <c r="C2" s="1822"/>
      <c r="D2" s="1822"/>
      <c r="E2" s="1822"/>
    </row>
    <row r="4" spans="1:5" ht="14.1" customHeight="1" x14ac:dyDescent="0.25">
      <c r="A4" s="1818" t="s">
        <v>492</v>
      </c>
      <c r="B4" s="17" t="s">
        <v>517</v>
      </c>
      <c r="C4" s="314" t="s">
        <v>493</v>
      </c>
      <c r="D4" s="667" t="s">
        <v>494</v>
      </c>
      <c r="E4" s="314" t="s">
        <v>495</v>
      </c>
    </row>
    <row r="5" spans="1:5" ht="14.1" customHeight="1" x14ac:dyDescent="0.25">
      <c r="A5" s="1819"/>
      <c r="B5" s="315" t="s">
        <v>496</v>
      </c>
      <c r="C5" s="315">
        <f>+'Graduation Rates (2003)'!C5+'Graduation Rates (2004)'!C5+'Graduation Rates (2005)'!C5+'Graduation Rates (2006)'!C5</f>
        <v>777</v>
      </c>
      <c r="D5" s="315">
        <f>+'Graduation Rates (2003)'!D5+'Graduation Rates (2004)'!D5+'Graduation Rates (2005)'!D5+'Graduation Rates (2006)'!D5</f>
        <v>1544</v>
      </c>
      <c r="E5" s="315">
        <f>+C5+D5</f>
        <v>2321</v>
      </c>
    </row>
    <row r="6" spans="1:5" ht="14.1" customHeight="1" x14ac:dyDescent="0.25">
      <c r="A6" s="1819"/>
      <c r="B6" s="315" t="s">
        <v>497</v>
      </c>
      <c r="C6" s="315">
        <f>+'Graduation Rates (2003)'!C6+'Graduation Rates (2004)'!C6+'Graduation Rates (2005)'!C6+'Graduation Rates (2006)'!C6</f>
        <v>271</v>
      </c>
      <c r="D6" s="315">
        <f>+'Graduation Rates (2003)'!D6+'Graduation Rates (2004)'!D6+'Graduation Rates (2005)'!D6+'Graduation Rates (2006)'!D6</f>
        <v>664</v>
      </c>
      <c r="E6" s="315">
        <f>+C6+D6</f>
        <v>935</v>
      </c>
    </row>
    <row r="7" spans="1:5" ht="14.1" customHeight="1" x14ac:dyDescent="0.25">
      <c r="A7" s="1820"/>
      <c r="B7" s="315" t="s">
        <v>498</v>
      </c>
      <c r="C7" s="316">
        <f>+C6/C5</f>
        <v>0.34877734877734878</v>
      </c>
      <c r="D7" s="316">
        <f>+D6/D5</f>
        <v>0.43005181347150256</v>
      </c>
      <c r="E7" s="316">
        <f>+E6/E5</f>
        <v>0.40284360189573459</v>
      </c>
    </row>
    <row r="8" spans="1:5" ht="14.1" customHeight="1" x14ac:dyDescent="0.25"/>
    <row r="9" spans="1:5" ht="14.1" customHeight="1" x14ac:dyDescent="0.25">
      <c r="A9" s="1823" t="s">
        <v>499</v>
      </c>
      <c r="B9" s="888" t="s">
        <v>517</v>
      </c>
      <c r="C9" s="667" t="s">
        <v>493</v>
      </c>
      <c r="D9" s="667" t="s">
        <v>494</v>
      </c>
      <c r="E9" s="667" t="s">
        <v>495</v>
      </c>
    </row>
    <row r="10" spans="1:5" ht="14.1" customHeight="1" x14ac:dyDescent="0.25">
      <c r="A10" s="1824"/>
      <c r="B10" s="889" t="s">
        <v>496</v>
      </c>
      <c r="C10" s="315">
        <f>+'Graduation Rates (2003)'!C10+'Graduation Rates (2004)'!C10+'Graduation Rates (2005)'!C10+'Graduation Rates (2006)'!C10</f>
        <v>14</v>
      </c>
      <c r="D10" s="315">
        <f>+'Graduation Rates (2003)'!D10+'Graduation Rates (2004)'!D10+'Graduation Rates (2005)'!D10+'Graduation Rates (2006)'!D10</f>
        <v>17</v>
      </c>
      <c r="E10" s="889">
        <f>+C10+D10</f>
        <v>31</v>
      </c>
    </row>
    <row r="11" spans="1:5" ht="14.1" customHeight="1" x14ac:dyDescent="0.25">
      <c r="A11" s="1824"/>
      <c r="B11" s="889" t="s">
        <v>497</v>
      </c>
      <c r="C11" s="315">
        <f>+'Graduation Rates (2003)'!C11+'Graduation Rates (2004)'!C11+'Graduation Rates (2005)'!C11+'Graduation Rates (2006)'!C11</f>
        <v>5</v>
      </c>
      <c r="D11" s="315">
        <f>+'Graduation Rates (2003)'!D11+'Graduation Rates (2004)'!D11+'Graduation Rates (2005)'!D11+'Graduation Rates (2006)'!D11</f>
        <v>6</v>
      </c>
      <c r="E11" s="889">
        <f>+C11+D11</f>
        <v>11</v>
      </c>
    </row>
    <row r="12" spans="1:5" ht="14.25" customHeight="1" x14ac:dyDescent="0.25">
      <c r="A12" s="1825"/>
      <c r="B12" s="889" t="s">
        <v>498</v>
      </c>
      <c r="C12" s="890">
        <f>+C11/C10</f>
        <v>0.35714285714285715</v>
      </c>
      <c r="D12" s="890">
        <f>+D11/D10</f>
        <v>0.35294117647058826</v>
      </c>
      <c r="E12" s="890">
        <f>+E11/E10</f>
        <v>0.35483870967741937</v>
      </c>
    </row>
    <row r="13" spans="1:5" ht="14.1" customHeight="1" x14ac:dyDescent="0.25">
      <c r="A13" s="891"/>
      <c r="B13" s="368"/>
      <c r="C13" s="892"/>
      <c r="D13" s="893"/>
      <c r="E13" s="893"/>
    </row>
    <row r="14" spans="1:5" ht="14.1" customHeight="1" x14ac:dyDescent="0.25">
      <c r="A14" s="1823" t="s">
        <v>11</v>
      </c>
      <c r="B14" s="888" t="s">
        <v>517</v>
      </c>
      <c r="C14" s="667" t="s">
        <v>493</v>
      </c>
      <c r="D14" s="667" t="s">
        <v>494</v>
      </c>
      <c r="E14" s="667" t="s">
        <v>495</v>
      </c>
    </row>
    <row r="15" spans="1:5" ht="14.1" customHeight="1" x14ac:dyDescent="0.25">
      <c r="A15" s="1824"/>
      <c r="B15" s="889" t="s">
        <v>496</v>
      </c>
      <c r="C15" s="315">
        <f>+'Graduation Rates (2003)'!C15+'Graduation Rates (2004)'!C15+'Graduation Rates (2005)'!C15+'Graduation Rates (2006)'!C15</f>
        <v>16</v>
      </c>
      <c r="D15" s="315">
        <f>+'Graduation Rates (2003)'!D15+'Graduation Rates (2004)'!D15+'Graduation Rates (2005)'!D15+'Graduation Rates (2006)'!D15</f>
        <v>0</v>
      </c>
      <c r="E15" s="889">
        <f>+C15+D15</f>
        <v>16</v>
      </c>
    </row>
    <row r="16" spans="1:5" ht="14.1" customHeight="1" x14ac:dyDescent="0.25">
      <c r="A16" s="1824"/>
      <c r="B16" s="889" t="s">
        <v>497</v>
      </c>
      <c r="C16" s="315">
        <f>+'Graduation Rates (2003)'!C16+'Graduation Rates (2004)'!C16+'Graduation Rates (2005)'!C16+'Graduation Rates (2006)'!C16</f>
        <v>7</v>
      </c>
      <c r="D16" s="315">
        <f>+'Graduation Rates (2003)'!D16+'Graduation Rates (2004)'!D16+'Graduation Rates (2005)'!D16+'Graduation Rates (2006)'!D16</f>
        <v>0</v>
      </c>
      <c r="E16" s="889">
        <f>+C16+D16</f>
        <v>7</v>
      </c>
    </row>
    <row r="17" spans="1:5" ht="14.1" customHeight="1" x14ac:dyDescent="0.25">
      <c r="A17" s="1825"/>
      <c r="B17" s="889" t="s">
        <v>498</v>
      </c>
      <c r="C17" s="890">
        <f>+C16/C15</f>
        <v>0.4375</v>
      </c>
      <c r="D17" s="1419" t="s">
        <v>1045</v>
      </c>
      <c r="E17" s="890">
        <f>+E16/E15</f>
        <v>0.4375</v>
      </c>
    </row>
    <row r="18" spans="1:5" ht="14.1" customHeight="1" x14ac:dyDescent="0.25">
      <c r="A18" s="368"/>
      <c r="B18" s="368"/>
      <c r="C18" s="368"/>
      <c r="D18" s="368"/>
      <c r="E18" s="368"/>
    </row>
    <row r="19" spans="1:5" ht="14.1" customHeight="1" x14ac:dyDescent="0.25">
      <c r="A19" s="1823" t="s">
        <v>515</v>
      </c>
      <c r="B19" s="888" t="s">
        <v>517</v>
      </c>
      <c r="C19" s="667" t="s">
        <v>493</v>
      </c>
      <c r="D19" s="667" t="s">
        <v>494</v>
      </c>
      <c r="E19" s="667" t="s">
        <v>495</v>
      </c>
    </row>
    <row r="20" spans="1:5" ht="14.1" customHeight="1" x14ac:dyDescent="0.25">
      <c r="A20" s="1824"/>
      <c r="B20" s="889" t="s">
        <v>496</v>
      </c>
      <c r="C20" s="315">
        <f>+'Graduation Rates (2003)'!C20+'Graduation Rates (2004)'!C20+'Graduation Rates (2005)'!C20+'Graduation Rates (2006)'!C20</f>
        <v>0</v>
      </c>
      <c r="D20" s="315">
        <f>+'Graduation Rates (2003)'!D20+'Graduation Rates (2004)'!D20+'Graduation Rates (2005)'!D20+'Graduation Rates (2006)'!D20</f>
        <v>11</v>
      </c>
      <c r="E20" s="889">
        <f>+C20+D20</f>
        <v>11</v>
      </c>
    </row>
    <row r="21" spans="1:5" ht="14.1" customHeight="1" x14ac:dyDescent="0.25">
      <c r="A21" s="1824"/>
      <c r="B21" s="889" t="s">
        <v>497</v>
      </c>
      <c r="C21" s="315">
        <f>+'Graduation Rates (2003)'!C21+'Graduation Rates (2004)'!C21+'Graduation Rates (2005)'!C21+'Graduation Rates (2006)'!C21</f>
        <v>0</v>
      </c>
      <c r="D21" s="315">
        <f>+'Graduation Rates (2003)'!D21+'Graduation Rates (2004)'!D21+'Graduation Rates (2005)'!D21+'Graduation Rates (2006)'!D21</f>
        <v>7</v>
      </c>
      <c r="E21" s="889">
        <f>+C21+D21</f>
        <v>7</v>
      </c>
    </row>
    <row r="22" spans="1:5" ht="14.1" customHeight="1" x14ac:dyDescent="0.25">
      <c r="A22" s="1825"/>
      <c r="B22" s="889" t="s">
        <v>498</v>
      </c>
      <c r="C22" s="1419" t="s">
        <v>1045</v>
      </c>
      <c r="D22" s="894">
        <f>+D21/D20</f>
        <v>0.63636363636363635</v>
      </c>
      <c r="E22" s="894">
        <f>+E21/E20</f>
        <v>0.63636363636363635</v>
      </c>
    </row>
    <row r="23" spans="1:5" ht="14.1" customHeight="1" x14ac:dyDescent="0.25">
      <c r="A23" s="891"/>
      <c r="B23" s="368"/>
      <c r="C23" s="893"/>
      <c r="D23" s="893"/>
      <c r="E23" s="893"/>
    </row>
    <row r="24" spans="1:5" ht="14.1" customHeight="1" x14ac:dyDescent="0.25">
      <c r="A24" s="1823" t="s">
        <v>516</v>
      </c>
      <c r="B24" s="888" t="s">
        <v>517</v>
      </c>
      <c r="C24" s="667" t="s">
        <v>493</v>
      </c>
      <c r="D24" s="667" t="s">
        <v>494</v>
      </c>
      <c r="E24" s="667" t="s">
        <v>495</v>
      </c>
    </row>
    <row r="25" spans="1:5" ht="14.1" customHeight="1" x14ac:dyDescent="0.25">
      <c r="A25" s="1824"/>
      <c r="B25" s="889" t="s">
        <v>496</v>
      </c>
      <c r="C25" s="315">
        <f>+'Graduation Rates (2003)'!C25+'Graduation Rates (2004)'!C25+'Graduation Rates (2005)'!C25+'Graduation Rates (2006)'!C25</f>
        <v>34</v>
      </c>
      <c r="D25" s="315">
        <f>+'Graduation Rates (2003)'!D25+'Graduation Rates (2004)'!D25+'Graduation Rates (2005)'!D25+'Graduation Rates (2006)'!D25</f>
        <v>44</v>
      </c>
      <c r="E25" s="889">
        <f>+C25+D25</f>
        <v>78</v>
      </c>
    </row>
    <row r="26" spans="1:5" ht="14.1" customHeight="1" x14ac:dyDescent="0.25">
      <c r="A26" s="1824"/>
      <c r="B26" s="889" t="s">
        <v>497</v>
      </c>
      <c r="C26" s="315">
        <f>+'Graduation Rates (2003)'!C26+'Graduation Rates (2004)'!C26+'Graduation Rates (2005)'!C26+'Graduation Rates (2006)'!C26</f>
        <v>24</v>
      </c>
      <c r="D26" s="315">
        <f>+'Graduation Rates (2003)'!D26+'Graduation Rates (2004)'!D26+'Graduation Rates (2005)'!D26+'Graduation Rates (2006)'!D26</f>
        <v>29</v>
      </c>
      <c r="E26" s="889">
        <f>+C26+D26</f>
        <v>53</v>
      </c>
    </row>
    <row r="27" spans="1:5" ht="14.1" customHeight="1" x14ac:dyDescent="0.25">
      <c r="A27" s="1825"/>
      <c r="B27" s="889" t="s">
        <v>498</v>
      </c>
      <c r="C27" s="894">
        <f>+C26/C25</f>
        <v>0.70588235294117652</v>
      </c>
      <c r="D27" s="894">
        <f>+D26/D25</f>
        <v>0.65909090909090906</v>
      </c>
      <c r="E27" s="894">
        <f>+E26/E25</f>
        <v>0.67948717948717952</v>
      </c>
    </row>
    <row r="29" spans="1:5" ht="26.1" customHeight="1" x14ac:dyDescent="0.25">
      <c r="A29" s="1821" t="s">
        <v>580</v>
      </c>
      <c r="B29" s="1821"/>
      <c r="C29" s="1821"/>
      <c r="D29" s="1821"/>
      <c r="E29" s="1821"/>
    </row>
  </sheetData>
  <mergeCells count="8">
    <mergeCell ref="A24:A27"/>
    <mergeCell ref="A29:E29"/>
    <mergeCell ref="A1:E1"/>
    <mergeCell ref="A2:E2"/>
    <mergeCell ref="A4:A7"/>
    <mergeCell ref="A9:A12"/>
    <mergeCell ref="A14:A17"/>
    <mergeCell ref="A19:A22"/>
  </mergeCells>
  <phoneticPr fontId="15" type="noConversion"/>
  <printOptions horizontalCentered="1" verticalCentered="1"/>
  <pageMargins left="0.75" right="0.75" top="1" bottom="1" header="0.5" footer="0.5"/>
  <pageSetup orientation="portrait" horizontalDpi="300" verticalDpi="300" r:id="rId1"/>
  <headerFooter alignWithMargins="0">
    <oddFooter>&amp;L&amp;7Source: Office of Institutional Research</oddFooter>
  </headerFooter>
  <legacy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7"/>
  <dimension ref="A1:X37"/>
  <sheetViews>
    <sheetView workbookViewId="0">
      <selection sqref="A1:W1"/>
    </sheetView>
  </sheetViews>
  <sheetFormatPr defaultColWidth="9.109375" defaultRowHeight="13.2" x14ac:dyDescent="0.25"/>
  <cols>
    <col min="1" max="3" width="8.6640625" style="345" customWidth="1"/>
    <col min="4" max="12" width="11.6640625" style="345" hidden="1" customWidth="1"/>
    <col min="13" max="26" width="11.6640625" style="345" customWidth="1"/>
    <col min="27" max="16384" width="9.109375" style="345"/>
  </cols>
  <sheetData>
    <row r="1" spans="1:24" s="343" customFormat="1" ht="17.399999999999999" x14ac:dyDescent="0.3">
      <c r="A1" s="1831" t="s">
        <v>809</v>
      </c>
      <c r="B1" s="1831"/>
      <c r="C1" s="1831"/>
      <c r="D1" s="1831"/>
      <c r="E1" s="1831"/>
      <c r="F1" s="1831"/>
      <c r="G1" s="1831"/>
      <c r="H1" s="1831"/>
      <c r="I1" s="1831"/>
      <c r="J1" s="1831"/>
      <c r="K1" s="1831"/>
      <c r="L1" s="1831"/>
      <c r="M1" s="1831"/>
      <c r="N1" s="1831"/>
      <c r="O1" s="1831"/>
      <c r="P1" s="1831"/>
      <c r="Q1" s="1831"/>
      <c r="R1" s="1831"/>
      <c r="S1" s="1831"/>
      <c r="T1" s="1831"/>
      <c r="U1" s="1831"/>
      <c r="V1" s="1831"/>
      <c r="W1" s="1831"/>
    </row>
    <row r="2" spans="1:24" s="343" customFormat="1" ht="17.399999999999999" x14ac:dyDescent="0.3">
      <c r="A2" s="1832" t="s">
        <v>842</v>
      </c>
      <c r="B2" s="1832"/>
      <c r="C2" s="1832"/>
      <c r="D2" s="1832"/>
      <c r="E2" s="1832"/>
      <c r="F2" s="1832"/>
      <c r="G2" s="1832"/>
      <c r="H2" s="1832"/>
      <c r="I2" s="1832"/>
      <c r="J2" s="1832"/>
      <c r="K2" s="1832"/>
      <c r="L2" s="1832"/>
      <c r="M2" s="1832"/>
      <c r="N2" s="1832"/>
      <c r="O2" s="1832"/>
      <c r="P2" s="1832"/>
      <c r="Q2" s="1832"/>
      <c r="R2" s="1832"/>
      <c r="S2" s="1832"/>
      <c r="T2" s="1832"/>
      <c r="U2" s="1832"/>
      <c r="V2" s="1832"/>
      <c r="W2" s="1832"/>
    </row>
    <row r="3" spans="1:24" s="343" customFormat="1" ht="17.399999999999999" hidden="1" x14ac:dyDescent="0.3">
      <c r="A3" s="761" t="s">
        <v>164</v>
      </c>
      <c r="B3" s="761"/>
      <c r="C3" s="761"/>
      <c r="D3" s="761"/>
      <c r="E3" s="761"/>
      <c r="F3" s="761"/>
      <c r="G3" s="761"/>
      <c r="H3" s="761"/>
      <c r="I3" s="761"/>
      <c r="J3" s="761"/>
      <c r="K3" s="761"/>
      <c r="L3" s="761"/>
      <c r="M3" s="761"/>
      <c r="N3" s="761"/>
      <c r="O3" s="761"/>
      <c r="P3" s="761"/>
    </row>
    <row r="4" spans="1:24" s="343" customFormat="1" ht="17.399999999999999" x14ac:dyDescent="0.3">
      <c r="A4" s="1829"/>
      <c r="B4" s="1829"/>
      <c r="C4" s="1830"/>
      <c r="D4" s="1833" t="s">
        <v>810</v>
      </c>
      <c r="E4" s="1829"/>
      <c r="F4" s="1829"/>
      <c r="G4" s="1829"/>
      <c r="H4" s="1829"/>
      <c r="I4" s="1829"/>
      <c r="J4" s="1829"/>
      <c r="K4" s="1829"/>
      <c r="L4" s="1829"/>
      <c r="M4" s="1829"/>
      <c r="N4" s="1829"/>
      <c r="O4" s="1829"/>
      <c r="P4" s="1829"/>
      <c r="Q4" s="1829"/>
      <c r="R4" s="1829"/>
      <c r="S4" s="1829"/>
      <c r="T4" s="1829"/>
      <c r="U4" s="1829"/>
      <c r="V4" s="1829"/>
      <c r="W4" s="1829"/>
    </row>
    <row r="5" spans="1:24" ht="38.25" customHeight="1" x14ac:dyDescent="0.25">
      <c r="A5" s="1826" t="s">
        <v>657</v>
      </c>
      <c r="B5" s="1827"/>
      <c r="C5" s="1828"/>
      <c r="D5" s="344" t="s">
        <v>979</v>
      </c>
      <c r="E5" s="344" t="s">
        <v>980</v>
      </c>
      <c r="F5" s="344" t="s">
        <v>841</v>
      </c>
      <c r="G5" s="344" t="s">
        <v>843</v>
      </c>
      <c r="H5" s="344" t="s">
        <v>844</v>
      </c>
      <c r="I5" s="344" t="s">
        <v>845</v>
      </c>
      <c r="J5" s="344" t="s">
        <v>1321</v>
      </c>
      <c r="K5" s="344" t="s">
        <v>846</v>
      </c>
      <c r="L5" s="344" t="s">
        <v>659</v>
      </c>
      <c r="M5" s="344" t="s">
        <v>1322</v>
      </c>
      <c r="N5" s="344" t="s">
        <v>578</v>
      </c>
      <c r="O5" s="344" t="s">
        <v>165</v>
      </c>
      <c r="P5" s="344" t="s">
        <v>237</v>
      </c>
      <c r="Q5" s="344" t="s">
        <v>194</v>
      </c>
      <c r="R5" s="344" t="s">
        <v>389</v>
      </c>
      <c r="S5" s="344" t="s">
        <v>1488</v>
      </c>
      <c r="T5" s="344" t="s">
        <v>1489</v>
      </c>
      <c r="U5" s="344" t="s">
        <v>1490</v>
      </c>
      <c r="V5" s="344" t="s">
        <v>1491</v>
      </c>
      <c r="W5" s="344" t="s">
        <v>1556</v>
      </c>
    </row>
    <row r="6" spans="1:24" x14ac:dyDescent="0.25">
      <c r="A6" s="346" t="s">
        <v>811</v>
      </c>
      <c r="B6" s="347"/>
      <c r="C6" s="348"/>
      <c r="D6" s="349"/>
      <c r="E6" s="349"/>
      <c r="F6" s="349"/>
      <c r="G6" s="349"/>
      <c r="H6" s="349"/>
      <c r="I6" s="349"/>
      <c r="J6" s="349"/>
      <c r="K6" s="349"/>
      <c r="L6" s="349"/>
      <c r="M6" s="349"/>
      <c r="N6" s="516"/>
      <c r="O6" s="516"/>
      <c r="P6" s="516"/>
      <c r="Q6" s="516"/>
      <c r="R6" s="516"/>
      <c r="S6" s="516"/>
      <c r="T6" s="516"/>
      <c r="U6" s="516"/>
      <c r="V6" s="516"/>
      <c r="W6" s="516"/>
    </row>
    <row r="7" spans="1:24" x14ac:dyDescent="0.25">
      <c r="A7" s="350"/>
      <c r="B7" s="347" t="s">
        <v>812</v>
      </c>
      <c r="C7" s="348"/>
      <c r="D7" s="349">
        <v>0</v>
      </c>
      <c r="E7" s="349">
        <v>0</v>
      </c>
      <c r="F7" s="349">
        <v>0</v>
      </c>
      <c r="G7" s="349">
        <v>0</v>
      </c>
      <c r="H7" s="349">
        <v>0</v>
      </c>
      <c r="I7" s="349">
        <v>0</v>
      </c>
      <c r="J7" s="349">
        <v>0</v>
      </c>
      <c r="K7" s="516">
        <v>0</v>
      </c>
      <c r="L7" s="516">
        <v>0</v>
      </c>
      <c r="M7" s="516">
        <v>0</v>
      </c>
      <c r="N7" s="516">
        <v>0</v>
      </c>
      <c r="O7" s="516">
        <v>0</v>
      </c>
      <c r="P7" s="516">
        <v>0</v>
      </c>
      <c r="Q7" s="516">
        <v>0</v>
      </c>
      <c r="R7" s="516">
        <v>0</v>
      </c>
      <c r="S7" s="516">
        <v>0</v>
      </c>
      <c r="T7" s="516">
        <v>0</v>
      </c>
      <c r="U7" s="516">
        <v>0</v>
      </c>
      <c r="V7" s="516">
        <v>0</v>
      </c>
      <c r="W7" s="516">
        <v>0</v>
      </c>
    </row>
    <row r="8" spans="1:24" x14ac:dyDescent="0.25">
      <c r="A8" s="350"/>
      <c r="B8" s="347" t="s">
        <v>813</v>
      </c>
      <c r="C8" s="348"/>
      <c r="D8" s="349">
        <v>70.900000000000006</v>
      </c>
      <c r="E8" s="349">
        <v>67.5</v>
      </c>
      <c r="F8" s="349">
        <v>66</v>
      </c>
      <c r="G8" s="349">
        <v>70.900000000000006</v>
      </c>
      <c r="H8" s="349">
        <v>69.8</v>
      </c>
      <c r="I8" s="349">
        <v>66.7</v>
      </c>
      <c r="J8" s="349">
        <v>66.5</v>
      </c>
      <c r="K8" s="516">
        <v>67.2</v>
      </c>
      <c r="L8" s="516">
        <v>67</v>
      </c>
      <c r="M8" s="516">
        <v>66.5</v>
      </c>
      <c r="N8" s="516">
        <v>62</v>
      </c>
      <c r="O8" s="516">
        <v>65.099999999999994</v>
      </c>
      <c r="P8" s="516">
        <v>63.6</v>
      </c>
      <c r="Q8" s="516">
        <v>62.3</v>
      </c>
      <c r="R8" s="516">
        <v>59.6</v>
      </c>
      <c r="S8" s="516">
        <v>67.900000000000006</v>
      </c>
      <c r="T8" s="516">
        <v>70</v>
      </c>
      <c r="U8" s="516">
        <v>67.8</v>
      </c>
      <c r="V8" s="516">
        <v>64.400000000000006</v>
      </c>
      <c r="W8" s="516">
        <v>61</v>
      </c>
      <c r="X8" s="361"/>
    </row>
    <row r="9" spans="1:24" x14ac:dyDescent="0.25">
      <c r="A9" s="350"/>
      <c r="B9" s="347" t="s">
        <v>814</v>
      </c>
      <c r="C9" s="348"/>
      <c r="D9" s="349">
        <v>0</v>
      </c>
      <c r="E9" s="349">
        <v>7.7</v>
      </c>
      <c r="F9" s="349">
        <v>8.9</v>
      </c>
      <c r="G9" s="349">
        <v>6.7</v>
      </c>
      <c r="H9" s="349">
        <v>7.6</v>
      </c>
      <c r="I9" s="349">
        <v>5.3</v>
      </c>
      <c r="J9" s="349">
        <v>0</v>
      </c>
      <c r="K9" s="516">
        <v>6.3</v>
      </c>
      <c r="L9" s="516">
        <v>5.5</v>
      </c>
      <c r="M9" s="516">
        <v>6.8</v>
      </c>
      <c r="N9" s="516">
        <v>9.3000000000000007</v>
      </c>
      <c r="O9" s="516">
        <v>7.9</v>
      </c>
      <c r="P9" s="516">
        <v>12.3</v>
      </c>
      <c r="Q9" s="516">
        <v>11.6</v>
      </c>
      <c r="R9" s="516">
        <v>8.1</v>
      </c>
      <c r="S9" s="516">
        <v>4.4000000000000004</v>
      </c>
      <c r="T9" s="516">
        <v>5.2</v>
      </c>
      <c r="U9" s="516">
        <v>5.8</v>
      </c>
      <c r="V9" s="516">
        <v>7.1</v>
      </c>
      <c r="W9" s="516">
        <v>10.3</v>
      </c>
    </row>
    <row r="10" spans="1:24" x14ac:dyDescent="0.25">
      <c r="A10" s="351"/>
      <c r="B10" s="352" t="s">
        <v>815</v>
      </c>
      <c r="C10" s="353"/>
      <c r="D10" s="354">
        <v>29.1</v>
      </c>
      <c r="E10" s="354">
        <v>24.8</v>
      </c>
      <c r="F10" s="354">
        <v>25.1</v>
      </c>
      <c r="G10" s="354">
        <v>22.4</v>
      </c>
      <c r="H10" s="354">
        <v>22.7</v>
      </c>
      <c r="I10" s="354">
        <v>27.9</v>
      </c>
      <c r="J10" s="354">
        <v>33.5</v>
      </c>
      <c r="K10" s="517">
        <v>26.5</v>
      </c>
      <c r="L10" s="517">
        <v>27.5</v>
      </c>
      <c r="M10" s="517">
        <v>26.7</v>
      </c>
      <c r="N10" s="517">
        <v>28.7</v>
      </c>
      <c r="O10" s="517">
        <v>27</v>
      </c>
      <c r="P10" s="517">
        <v>24.1</v>
      </c>
      <c r="Q10" s="517">
        <v>26.1</v>
      </c>
      <c r="R10" s="517">
        <v>32.299999999999997</v>
      </c>
      <c r="S10" s="517">
        <v>27.7</v>
      </c>
      <c r="T10" s="517">
        <v>24.8</v>
      </c>
      <c r="U10" s="517">
        <v>26.4</v>
      </c>
      <c r="V10" s="517">
        <v>28.5</v>
      </c>
      <c r="W10" s="517">
        <v>28.7</v>
      </c>
      <c r="X10" s="361"/>
    </row>
    <row r="11" spans="1:24" x14ac:dyDescent="0.25">
      <c r="A11" s="355" t="s">
        <v>816</v>
      </c>
      <c r="B11" s="347"/>
      <c r="C11" s="348"/>
      <c r="D11" s="349"/>
      <c r="E11" s="349"/>
      <c r="F11" s="349"/>
      <c r="G11" s="349"/>
      <c r="H11" s="349"/>
      <c r="I11" s="349"/>
      <c r="J11" s="349"/>
      <c r="K11" s="516"/>
      <c r="L11" s="516"/>
      <c r="M11" s="516"/>
      <c r="N11" s="516"/>
      <c r="O11" s="516"/>
      <c r="P11" s="516"/>
      <c r="Q11" s="516"/>
      <c r="R11" s="516"/>
      <c r="S11" s="516"/>
      <c r="T11" s="516"/>
      <c r="U11" s="516"/>
      <c r="V11" s="516"/>
      <c r="W11" s="516"/>
    </row>
    <row r="12" spans="1:24" x14ac:dyDescent="0.25">
      <c r="A12" s="350"/>
      <c r="B12" s="347" t="s">
        <v>812</v>
      </c>
      <c r="C12" s="348"/>
      <c r="D12" s="349">
        <v>0</v>
      </c>
      <c r="E12" s="349">
        <v>0</v>
      </c>
      <c r="F12" s="349">
        <v>0</v>
      </c>
      <c r="G12" s="349">
        <v>0.2</v>
      </c>
      <c r="H12" s="349">
        <v>0</v>
      </c>
      <c r="I12" s="349">
        <v>0</v>
      </c>
      <c r="J12" s="349">
        <v>0</v>
      </c>
      <c r="K12" s="516">
        <v>0</v>
      </c>
      <c r="L12" s="516">
        <v>0</v>
      </c>
      <c r="M12" s="516">
        <v>0</v>
      </c>
      <c r="N12" s="516">
        <v>0</v>
      </c>
      <c r="O12" s="516">
        <v>0</v>
      </c>
      <c r="P12" s="516">
        <v>0</v>
      </c>
      <c r="Q12" s="516">
        <v>0</v>
      </c>
      <c r="R12" s="516">
        <v>0</v>
      </c>
      <c r="S12" s="516">
        <v>0</v>
      </c>
      <c r="T12" s="516">
        <v>0</v>
      </c>
      <c r="U12" s="516">
        <v>0</v>
      </c>
      <c r="V12" s="516">
        <v>0.1</v>
      </c>
      <c r="W12" s="516"/>
    </row>
    <row r="13" spans="1:24" x14ac:dyDescent="0.25">
      <c r="A13" s="350"/>
      <c r="B13" s="347" t="s">
        <v>813</v>
      </c>
      <c r="C13" s="348"/>
      <c r="D13" s="349">
        <v>56</v>
      </c>
      <c r="E13" s="349">
        <v>55</v>
      </c>
      <c r="F13" s="349">
        <v>57.8</v>
      </c>
      <c r="G13" s="349">
        <v>59.5</v>
      </c>
      <c r="H13" s="349">
        <v>58.6</v>
      </c>
      <c r="I13" s="349">
        <v>58</v>
      </c>
      <c r="J13" s="349">
        <v>51.2</v>
      </c>
      <c r="K13" s="516">
        <v>57.3</v>
      </c>
      <c r="L13" s="516">
        <v>52.1</v>
      </c>
      <c r="M13" s="516">
        <v>57.9</v>
      </c>
      <c r="N13" s="516">
        <v>53</v>
      </c>
      <c r="O13" s="516">
        <v>53.2</v>
      </c>
      <c r="P13" s="516">
        <v>52.1</v>
      </c>
      <c r="Q13" s="516">
        <v>46.6</v>
      </c>
      <c r="R13" s="516">
        <v>50.7</v>
      </c>
      <c r="S13" s="516">
        <v>60.6</v>
      </c>
      <c r="T13" s="516">
        <v>55.1</v>
      </c>
      <c r="U13" s="516">
        <v>55.1</v>
      </c>
      <c r="V13" s="516">
        <v>54.4</v>
      </c>
      <c r="W13" s="516"/>
    </row>
    <row r="14" spans="1:24" x14ac:dyDescent="0.25">
      <c r="A14" s="350"/>
      <c r="B14" s="347" t="s">
        <v>814</v>
      </c>
      <c r="C14" s="348"/>
      <c r="D14" s="349">
        <v>4.7</v>
      </c>
      <c r="E14" s="349">
        <v>10.1</v>
      </c>
      <c r="F14" s="349">
        <v>8.3000000000000007</v>
      </c>
      <c r="G14" s="349">
        <v>8.6</v>
      </c>
      <c r="H14" s="349">
        <v>7.3</v>
      </c>
      <c r="I14" s="349">
        <v>5.0999999999999996</v>
      </c>
      <c r="J14" s="349">
        <v>2.9</v>
      </c>
      <c r="K14" s="516">
        <v>6.7</v>
      </c>
      <c r="L14" s="516">
        <v>7.9</v>
      </c>
      <c r="M14" s="516">
        <v>6.6</v>
      </c>
      <c r="N14" s="516">
        <v>10.3</v>
      </c>
      <c r="O14" s="516">
        <v>9.8000000000000007</v>
      </c>
      <c r="P14" s="516">
        <v>13.9</v>
      </c>
      <c r="Q14" s="516">
        <v>12.3</v>
      </c>
      <c r="R14" s="516">
        <v>11.1</v>
      </c>
      <c r="S14" s="516">
        <v>6.2</v>
      </c>
      <c r="T14" s="516">
        <v>6.9</v>
      </c>
      <c r="U14" s="516">
        <v>8.4</v>
      </c>
      <c r="V14" s="516">
        <v>10.1</v>
      </c>
      <c r="W14" s="516"/>
    </row>
    <row r="15" spans="1:24" x14ac:dyDescent="0.25">
      <c r="A15" s="351"/>
      <c r="B15" s="352" t="s">
        <v>815</v>
      </c>
      <c r="C15" s="353"/>
      <c r="D15" s="354">
        <v>39.299999999999997</v>
      </c>
      <c r="E15" s="354">
        <v>34.9</v>
      </c>
      <c r="F15" s="354">
        <v>34</v>
      </c>
      <c r="G15" s="354">
        <v>31.7</v>
      </c>
      <c r="H15" s="354">
        <v>34.1</v>
      </c>
      <c r="I15" s="354">
        <v>37</v>
      </c>
      <c r="J15" s="354">
        <v>45.9</v>
      </c>
      <c r="K15" s="517">
        <v>36</v>
      </c>
      <c r="L15" s="517">
        <v>40.1</v>
      </c>
      <c r="M15" s="517">
        <v>35.5</v>
      </c>
      <c r="N15" s="517">
        <v>36.700000000000003</v>
      </c>
      <c r="O15" s="517">
        <v>37</v>
      </c>
      <c r="P15" s="517">
        <v>34</v>
      </c>
      <c r="Q15" s="517">
        <v>41.1</v>
      </c>
      <c r="R15" s="517">
        <v>38.200000000000003</v>
      </c>
      <c r="S15" s="517">
        <v>33.200000000000003</v>
      </c>
      <c r="T15" s="517">
        <v>38</v>
      </c>
      <c r="U15" s="517">
        <v>36.5</v>
      </c>
      <c r="V15" s="517">
        <v>35.4</v>
      </c>
      <c r="W15" s="517"/>
      <c r="X15" s="361"/>
    </row>
    <row r="16" spans="1:24" x14ac:dyDescent="0.25">
      <c r="A16" s="355" t="s">
        <v>819</v>
      </c>
      <c r="B16" s="347"/>
      <c r="C16" s="348"/>
      <c r="D16" s="349"/>
      <c r="E16" s="349"/>
      <c r="F16" s="349"/>
      <c r="G16" s="349"/>
      <c r="H16" s="349"/>
      <c r="I16" s="349"/>
      <c r="J16" s="349"/>
      <c r="K16" s="516"/>
      <c r="L16" s="516"/>
      <c r="M16" s="516"/>
      <c r="N16" s="516"/>
      <c r="O16" s="516"/>
      <c r="P16" s="516"/>
      <c r="Q16" s="516"/>
      <c r="R16" s="516"/>
      <c r="S16" s="516"/>
      <c r="T16" s="516"/>
      <c r="U16" s="516"/>
      <c r="V16" s="516"/>
      <c r="W16" s="516"/>
    </row>
    <row r="17" spans="1:24" x14ac:dyDescent="0.25">
      <c r="A17" s="350"/>
      <c r="B17" s="347" t="s">
        <v>812</v>
      </c>
      <c r="C17" s="348"/>
      <c r="D17" s="349">
        <v>1.5</v>
      </c>
      <c r="E17" s="349">
        <v>1.4</v>
      </c>
      <c r="F17" s="349">
        <v>2.5</v>
      </c>
      <c r="G17" s="349">
        <v>3.6</v>
      </c>
      <c r="H17" s="349">
        <v>2.1</v>
      </c>
      <c r="I17" s="349">
        <v>1.6</v>
      </c>
      <c r="J17" s="349">
        <v>2.2999999999999998</v>
      </c>
      <c r="K17" s="516">
        <v>1.8</v>
      </c>
      <c r="L17" s="516">
        <v>0.8</v>
      </c>
      <c r="M17" s="516">
        <v>2.2999999999999998</v>
      </c>
      <c r="N17" s="516">
        <v>2.9</v>
      </c>
      <c r="O17" s="516">
        <v>2.4</v>
      </c>
      <c r="P17" s="516">
        <v>0.3</v>
      </c>
      <c r="Q17" s="516">
        <v>0</v>
      </c>
      <c r="R17" s="516">
        <v>0.2</v>
      </c>
      <c r="S17" s="516">
        <v>0.5</v>
      </c>
      <c r="T17" s="516">
        <v>0.5</v>
      </c>
      <c r="U17" s="516">
        <v>1.4</v>
      </c>
      <c r="V17" s="516"/>
      <c r="W17" s="516"/>
    </row>
    <row r="18" spans="1:24" x14ac:dyDescent="0.25">
      <c r="A18" s="350"/>
      <c r="B18" s="347" t="s">
        <v>813</v>
      </c>
      <c r="C18" s="348"/>
      <c r="D18" s="349">
        <v>48.3</v>
      </c>
      <c r="E18" s="349">
        <v>50.4</v>
      </c>
      <c r="F18" s="349">
        <v>49.5</v>
      </c>
      <c r="G18" s="349">
        <v>48.8</v>
      </c>
      <c r="H18" s="349">
        <v>50.1</v>
      </c>
      <c r="I18" s="349">
        <v>49.2</v>
      </c>
      <c r="J18" s="349">
        <v>46.3</v>
      </c>
      <c r="K18" s="516">
        <v>52.4</v>
      </c>
      <c r="L18" s="516">
        <v>45.6</v>
      </c>
      <c r="M18" s="516">
        <v>51.5</v>
      </c>
      <c r="N18" s="516">
        <v>48.5</v>
      </c>
      <c r="O18" s="516">
        <v>47</v>
      </c>
      <c r="P18" s="516">
        <v>46.8</v>
      </c>
      <c r="Q18" s="516">
        <v>43.3</v>
      </c>
      <c r="R18" s="516">
        <v>47.4</v>
      </c>
      <c r="S18" s="516">
        <v>55.6</v>
      </c>
      <c r="T18" s="516">
        <v>49.3</v>
      </c>
      <c r="U18" s="516">
        <v>49.9</v>
      </c>
      <c r="V18" s="516"/>
      <c r="W18" s="516"/>
    </row>
    <row r="19" spans="1:24" x14ac:dyDescent="0.25">
      <c r="A19" s="350"/>
      <c r="B19" s="347" t="s">
        <v>814</v>
      </c>
      <c r="C19" s="348"/>
      <c r="D19" s="349">
        <v>5.2</v>
      </c>
      <c r="E19" s="349">
        <v>10.9</v>
      </c>
      <c r="F19" s="349">
        <v>8.5</v>
      </c>
      <c r="G19" s="349">
        <v>9.9</v>
      </c>
      <c r="H19" s="349">
        <v>7.8</v>
      </c>
      <c r="I19" s="349">
        <v>6</v>
      </c>
      <c r="J19" s="349">
        <v>4.0999999999999996</v>
      </c>
      <c r="K19" s="516">
        <v>7.5</v>
      </c>
      <c r="L19" s="516">
        <v>8.4</v>
      </c>
      <c r="M19" s="516">
        <v>6.8</v>
      </c>
      <c r="N19" s="516">
        <v>12.4</v>
      </c>
      <c r="O19" s="516">
        <v>10.4</v>
      </c>
      <c r="P19" s="516">
        <v>13.4</v>
      </c>
      <c r="Q19" s="516">
        <v>12.5</v>
      </c>
      <c r="R19" s="516">
        <v>11.8</v>
      </c>
      <c r="S19" s="516">
        <v>6.9</v>
      </c>
      <c r="T19" s="516">
        <v>7.4</v>
      </c>
      <c r="U19" s="516">
        <v>9.3000000000000007</v>
      </c>
      <c r="V19" s="516"/>
      <c r="W19" s="516"/>
    </row>
    <row r="20" spans="1:24" x14ac:dyDescent="0.25">
      <c r="A20" s="351"/>
      <c r="B20" s="352" t="s">
        <v>815</v>
      </c>
      <c r="C20" s="353"/>
      <c r="D20" s="354">
        <v>45</v>
      </c>
      <c r="E20" s="354">
        <v>37.299999999999997</v>
      </c>
      <c r="F20" s="354">
        <v>39.5</v>
      </c>
      <c r="G20" s="354">
        <v>37.700000000000003</v>
      </c>
      <c r="H20" s="354">
        <v>40</v>
      </c>
      <c r="I20" s="354">
        <v>43.2</v>
      </c>
      <c r="J20" s="354">
        <v>47.3</v>
      </c>
      <c r="K20" s="517">
        <v>38.299999999999997</v>
      </c>
      <c r="L20" s="517">
        <v>45.2</v>
      </c>
      <c r="M20" s="517">
        <v>39.4</v>
      </c>
      <c r="N20" s="517">
        <v>36.200000000000003</v>
      </c>
      <c r="O20" s="517">
        <v>40.200000000000003</v>
      </c>
      <c r="P20" s="517">
        <v>39.5</v>
      </c>
      <c r="Q20" s="517">
        <v>44.2</v>
      </c>
      <c r="R20" s="517">
        <v>40.6</v>
      </c>
      <c r="S20" s="517">
        <v>37</v>
      </c>
      <c r="T20" s="517">
        <v>42.8</v>
      </c>
      <c r="U20" s="517">
        <v>39.4</v>
      </c>
      <c r="V20" s="517"/>
      <c r="W20" s="517"/>
      <c r="X20" s="361"/>
    </row>
    <row r="21" spans="1:24" x14ac:dyDescent="0.25">
      <c r="A21" s="355" t="s">
        <v>836</v>
      </c>
      <c r="B21" s="347"/>
      <c r="C21" s="348"/>
      <c r="D21" s="349"/>
      <c r="E21" s="349"/>
      <c r="F21" s="349"/>
      <c r="G21" s="349"/>
      <c r="H21" s="349"/>
      <c r="I21" s="349"/>
      <c r="J21" s="349"/>
      <c r="K21" s="516"/>
      <c r="L21" s="516"/>
      <c r="M21" s="516"/>
      <c r="N21" s="516"/>
      <c r="O21" s="516"/>
      <c r="P21" s="516"/>
      <c r="Q21" s="516"/>
      <c r="R21" s="516"/>
      <c r="S21" s="516"/>
      <c r="T21" s="516"/>
      <c r="U21" s="516"/>
      <c r="V21" s="516"/>
      <c r="W21" s="516"/>
    </row>
    <row r="22" spans="1:24" x14ac:dyDescent="0.25">
      <c r="A22" s="350"/>
      <c r="B22" s="356" t="s">
        <v>812</v>
      </c>
      <c r="C22" s="357"/>
      <c r="D22" s="358">
        <v>26.4</v>
      </c>
      <c r="E22" s="358">
        <v>29.2</v>
      </c>
      <c r="F22" s="358">
        <v>28</v>
      </c>
      <c r="G22" s="358">
        <v>32.5</v>
      </c>
      <c r="H22" s="358">
        <v>30.7</v>
      </c>
      <c r="I22" s="358">
        <v>33.5</v>
      </c>
      <c r="J22" s="358">
        <v>27.7</v>
      </c>
      <c r="K22" s="762">
        <v>31</v>
      </c>
      <c r="L22" s="762">
        <v>27.9</v>
      </c>
      <c r="M22" s="762">
        <v>35.299999999999997</v>
      </c>
      <c r="N22" s="762">
        <v>32.299999999999997</v>
      </c>
      <c r="O22" s="762">
        <v>25.7</v>
      </c>
      <c r="P22" s="762">
        <v>21.6</v>
      </c>
      <c r="Q22" s="762">
        <v>19.8</v>
      </c>
      <c r="R22" s="762">
        <v>22.3</v>
      </c>
      <c r="S22" s="762">
        <v>32.200000000000003</v>
      </c>
      <c r="T22" s="762">
        <v>29.4</v>
      </c>
      <c r="U22" s="1344"/>
      <c r="V22" s="1344"/>
      <c r="W22" s="1344"/>
    </row>
    <row r="23" spans="1:24" x14ac:dyDescent="0.25">
      <c r="A23" s="350"/>
      <c r="B23" s="347" t="s">
        <v>813</v>
      </c>
      <c r="C23" s="348"/>
      <c r="D23" s="349">
        <v>21.4</v>
      </c>
      <c r="E23" s="349">
        <v>19.8</v>
      </c>
      <c r="F23" s="349">
        <v>21.3</v>
      </c>
      <c r="G23" s="349">
        <v>19.3</v>
      </c>
      <c r="H23" s="349">
        <v>18.3</v>
      </c>
      <c r="I23" s="349">
        <v>16.899999999999999</v>
      </c>
      <c r="J23" s="349">
        <v>17.7</v>
      </c>
      <c r="K23" s="516">
        <v>20.2</v>
      </c>
      <c r="L23" s="516">
        <v>15.9</v>
      </c>
      <c r="M23" s="516">
        <v>24.8</v>
      </c>
      <c r="N23" s="516">
        <v>25.8</v>
      </c>
      <c r="O23" s="516">
        <v>20.100000000000001</v>
      </c>
      <c r="P23" s="516">
        <v>33.5</v>
      </c>
      <c r="Q23" s="516">
        <v>20.8</v>
      </c>
      <c r="R23" s="516">
        <v>22.7</v>
      </c>
      <c r="S23" s="516">
        <v>23.6</v>
      </c>
      <c r="T23" s="516">
        <v>19.3</v>
      </c>
      <c r="U23" s="516"/>
      <c r="V23" s="516"/>
      <c r="W23" s="516"/>
    </row>
    <row r="24" spans="1:24" x14ac:dyDescent="0.25">
      <c r="A24" s="350"/>
      <c r="B24" s="347" t="s">
        <v>814</v>
      </c>
      <c r="C24" s="348"/>
      <c r="D24" s="349">
        <v>5.7</v>
      </c>
      <c r="E24" s="349">
        <v>11.5</v>
      </c>
      <c r="F24" s="349">
        <v>9.3000000000000007</v>
      </c>
      <c r="G24" s="349">
        <v>10.1</v>
      </c>
      <c r="H24" s="349">
        <v>8.9</v>
      </c>
      <c r="I24" s="349">
        <v>5.8</v>
      </c>
      <c r="J24" s="349">
        <v>4.9000000000000004</v>
      </c>
      <c r="K24" s="516">
        <v>8.3000000000000007</v>
      </c>
      <c r="L24" s="516">
        <v>9</v>
      </c>
      <c r="M24" s="516">
        <v>9.9</v>
      </c>
      <c r="N24" s="516">
        <v>12.9</v>
      </c>
      <c r="O24" s="516">
        <v>10.4</v>
      </c>
      <c r="P24" s="516">
        <v>13.7</v>
      </c>
      <c r="Q24" s="516">
        <v>12.5</v>
      </c>
      <c r="R24" s="516">
        <v>12.5</v>
      </c>
      <c r="S24" s="516">
        <v>7.4</v>
      </c>
      <c r="T24" s="516">
        <v>7.9</v>
      </c>
      <c r="U24" s="516"/>
      <c r="V24" s="516"/>
      <c r="W24" s="516"/>
    </row>
    <row r="25" spans="1:24" x14ac:dyDescent="0.25">
      <c r="A25" s="351"/>
      <c r="B25" s="352" t="s">
        <v>815</v>
      </c>
      <c r="C25" s="353"/>
      <c r="D25" s="354">
        <v>46.5</v>
      </c>
      <c r="E25" s="354">
        <v>39.5</v>
      </c>
      <c r="F25" s="354">
        <v>41.4</v>
      </c>
      <c r="G25" s="354">
        <v>38.200000000000003</v>
      </c>
      <c r="H25" s="354">
        <v>42.1</v>
      </c>
      <c r="I25" s="354">
        <v>43.9</v>
      </c>
      <c r="J25" s="354">
        <v>49.7</v>
      </c>
      <c r="K25" s="517">
        <v>40.5</v>
      </c>
      <c r="L25" s="517">
        <v>47.2</v>
      </c>
      <c r="M25" s="517">
        <v>30</v>
      </c>
      <c r="N25" s="517">
        <v>29</v>
      </c>
      <c r="O25" s="517">
        <v>43.8</v>
      </c>
      <c r="P25" s="517">
        <v>31.2</v>
      </c>
      <c r="Q25" s="517">
        <v>46.9</v>
      </c>
      <c r="R25" s="517">
        <v>42.5</v>
      </c>
      <c r="S25" s="517">
        <v>36</v>
      </c>
      <c r="T25" s="517">
        <v>43.4</v>
      </c>
      <c r="U25" s="517"/>
      <c r="V25" s="517"/>
      <c r="W25" s="517"/>
      <c r="X25" s="361"/>
    </row>
    <row r="26" spans="1:24" x14ac:dyDescent="0.25">
      <c r="A26" s="355" t="s">
        <v>837</v>
      </c>
      <c r="B26" s="347"/>
      <c r="C26" s="348"/>
      <c r="D26" s="349"/>
      <c r="E26" s="349"/>
      <c r="F26" s="349"/>
      <c r="G26" s="349"/>
      <c r="H26" s="349"/>
      <c r="I26" s="349"/>
      <c r="J26" s="349"/>
      <c r="K26" s="516"/>
      <c r="L26" s="516"/>
      <c r="M26" s="516"/>
      <c r="N26" s="516"/>
      <c r="O26" s="516"/>
      <c r="P26" s="516"/>
      <c r="Q26" s="516"/>
      <c r="R26" s="516"/>
      <c r="S26" s="516"/>
      <c r="T26" s="516"/>
      <c r="U26" s="516"/>
      <c r="V26" s="516"/>
      <c r="W26" s="516"/>
    </row>
    <row r="27" spans="1:24" x14ac:dyDescent="0.25">
      <c r="A27" s="350"/>
      <c r="B27" s="347" t="s">
        <v>812</v>
      </c>
      <c r="C27" s="348"/>
      <c r="D27" s="349">
        <v>38.799999999999997</v>
      </c>
      <c r="E27" s="349">
        <v>41.5</v>
      </c>
      <c r="F27" s="349">
        <v>39.799999999999997</v>
      </c>
      <c r="G27" s="349">
        <v>45.1</v>
      </c>
      <c r="H27" s="349">
        <v>45.3</v>
      </c>
      <c r="I27" s="349">
        <v>43.9</v>
      </c>
      <c r="J27" s="349">
        <v>38.4</v>
      </c>
      <c r="K27" s="516">
        <v>44.3</v>
      </c>
      <c r="L27" s="516">
        <v>38.9</v>
      </c>
      <c r="M27" s="516">
        <v>45.8</v>
      </c>
      <c r="N27" s="516">
        <v>40.200000000000003</v>
      </c>
      <c r="O27" s="516">
        <v>37.5</v>
      </c>
      <c r="P27" s="516">
        <v>37.4</v>
      </c>
      <c r="Q27" s="516">
        <v>33.299999999999997</v>
      </c>
      <c r="R27" s="516">
        <v>36.5</v>
      </c>
      <c r="S27" s="516">
        <v>48.1</v>
      </c>
      <c r="T27" s="516"/>
      <c r="U27" s="516"/>
      <c r="V27" s="516"/>
      <c r="W27" s="516"/>
    </row>
    <row r="28" spans="1:24" x14ac:dyDescent="0.25">
      <c r="A28" s="350"/>
      <c r="B28" s="347" t="s">
        <v>813</v>
      </c>
      <c r="C28" s="348"/>
      <c r="D28" s="349">
        <v>5.7</v>
      </c>
      <c r="E28" s="349">
        <v>6.3</v>
      </c>
      <c r="F28" s="349">
        <v>6.8</v>
      </c>
      <c r="G28" s="349">
        <v>6.1</v>
      </c>
      <c r="H28" s="349">
        <v>5.7</v>
      </c>
      <c r="I28" s="349">
        <v>4.4000000000000004</v>
      </c>
      <c r="J28" s="349">
        <v>6.6</v>
      </c>
      <c r="K28" s="516">
        <v>5.7</v>
      </c>
      <c r="L28" s="516">
        <v>6.7</v>
      </c>
      <c r="M28" s="516">
        <v>2.4</v>
      </c>
      <c r="N28" s="516">
        <v>6.5</v>
      </c>
      <c r="O28" s="516">
        <v>7.6</v>
      </c>
      <c r="P28" s="516">
        <v>8</v>
      </c>
      <c r="Q28" s="516">
        <v>7.9</v>
      </c>
      <c r="R28" s="516">
        <v>7.8</v>
      </c>
      <c r="S28" s="516">
        <v>6.7</v>
      </c>
      <c r="T28" s="516"/>
      <c r="U28" s="516"/>
      <c r="V28" s="516"/>
      <c r="W28" s="516"/>
    </row>
    <row r="29" spans="1:24" x14ac:dyDescent="0.25">
      <c r="A29" s="350"/>
      <c r="B29" s="347" t="s">
        <v>814</v>
      </c>
      <c r="C29" s="348"/>
      <c r="D29" s="349">
        <v>5.5</v>
      </c>
      <c r="E29" s="349">
        <v>11.5</v>
      </c>
      <c r="F29" s="349">
        <v>9.1</v>
      </c>
      <c r="G29" s="349">
        <v>10.1</v>
      </c>
      <c r="H29" s="349">
        <v>9.1999999999999993</v>
      </c>
      <c r="I29" s="349">
        <v>7.2</v>
      </c>
      <c r="J29" s="349">
        <v>4.7</v>
      </c>
      <c r="K29" s="516">
        <v>8.5</v>
      </c>
      <c r="L29" s="516">
        <v>9</v>
      </c>
      <c r="M29" s="516">
        <v>9.5</v>
      </c>
      <c r="N29" s="516">
        <v>12.5</v>
      </c>
      <c r="O29" s="516">
        <v>10</v>
      </c>
      <c r="P29" s="516">
        <v>13.7</v>
      </c>
      <c r="Q29" s="516">
        <v>12.5</v>
      </c>
      <c r="R29" s="516">
        <v>13.1</v>
      </c>
      <c r="S29" s="516">
        <v>7.4</v>
      </c>
      <c r="T29" s="516"/>
      <c r="U29" s="516"/>
      <c r="V29" s="516"/>
      <c r="W29" s="516"/>
    </row>
    <row r="30" spans="1:24" x14ac:dyDescent="0.25">
      <c r="A30" s="351"/>
      <c r="B30" s="352" t="s">
        <v>815</v>
      </c>
      <c r="C30" s="353"/>
      <c r="D30" s="354">
        <v>50</v>
      </c>
      <c r="E30" s="354">
        <v>40.700000000000003</v>
      </c>
      <c r="F30" s="354">
        <v>44.3</v>
      </c>
      <c r="G30" s="354">
        <v>38.799999999999997</v>
      </c>
      <c r="H30" s="354">
        <v>39.799999999999997</v>
      </c>
      <c r="I30" s="354">
        <v>44.6</v>
      </c>
      <c r="J30" s="354">
        <v>50.3</v>
      </c>
      <c r="K30" s="517">
        <v>41.5</v>
      </c>
      <c r="L30" s="517">
        <v>45.4</v>
      </c>
      <c r="M30" s="517">
        <v>42.3</v>
      </c>
      <c r="N30" s="517">
        <v>40.799999999999997</v>
      </c>
      <c r="O30" s="517">
        <v>44.9</v>
      </c>
      <c r="P30" s="517">
        <v>40.9</v>
      </c>
      <c r="Q30" s="517">
        <v>46.3</v>
      </c>
      <c r="R30" s="517">
        <v>42.6</v>
      </c>
      <c r="S30" s="517">
        <v>37.799999999999997</v>
      </c>
      <c r="T30" s="517"/>
      <c r="U30" s="517"/>
      <c r="V30" s="517"/>
      <c r="W30" s="517"/>
      <c r="X30" s="361"/>
    </row>
    <row r="31" spans="1:24" x14ac:dyDescent="0.25">
      <c r="A31" s="355" t="s">
        <v>838</v>
      </c>
      <c r="B31" s="347"/>
      <c r="C31" s="348"/>
      <c r="D31" s="349"/>
      <c r="E31" s="349"/>
      <c r="F31" s="349"/>
      <c r="G31" s="349"/>
      <c r="H31" s="349"/>
      <c r="I31" s="349"/>
      <c r="J31" s="349"/>
      <c r="K31" s="516"/>
      <c r="L31" s="516"/>
      <c r="M31" s="516"/>
      <c r="N31" s="516"/>
      <c r="O31" s="516"/>
      <c r="P31" s="516"/>
      <c r="Q31" s="516"/>
      <c r="R31" s="516"/>
      <c r="S31" s="516"/>
      <c r="T31" s="516"/>
      <c r="U31" s="516"/>
      <c r="V31" s="516"/>
      <c r="W31" s="516"/>
    </row>
    <row r="32" spans="1:24" x14ac:dyDescent="0.25">
      <c r="A32" s="350"/>
      <c r="B32" s="356" t="s">
        <v>812</v>
      </c>
      <c r="C32" s="357"/>
      <c r="D32" s="358">
        <v>43.8</v>
      </c>
      <c r="E32" s="358">
        <v>44.6</v>
      </c>
      <c r="F32" s="358">
        <v>42.4</v>
      </c>
      <c r="G32" s="359">
        <v>48.2</v>
      </c>
      <c r="H32" s="359">
        <v>49</v>
      </c>
      <c r="I32" s="359">
        <v>46.4</v>
      </c>
      <c r="J32" s="762">
        <v>43.1</v>
      </c>
      <c r="K32" s="762">
        <v>48.4</v>
      </c>
      <c r="L32" s="762">
        <v>40.4</v>
      </c>
      <c r="M32" s="762">
        <v>46.4</v>
      </c>
      <c r="N32" s="762">
        <v>43.5</v>
      </c>
      <c r="O32" s="762">
        <v>41.2</v>
      </c>
      <c r="P32" s="762">
        <v>42.1</v>
      </c>
      <c r="Q32" s="762">
        <v>36.9</v>
      </c>
      <c r="R32" s="762">
        <v>40.799999999999997</v>
      </c>
      <c r="S32" s="762"/>
      <c r="T32" s="762"/>
      <c r="U32" s="762"/>
      <c r="V32" s="762"/>
      <c r="W32" s="762"/>
    </row>
    <row r="33" spans="1:24" x14ac:dyDescent="0.25">
      <c r="A33" s="350"/>
      <c r="B33" s="347" t="s">
        <v>813</v>
      </c>
      <c r="C33" s="348"/>
      <c r="D33" s="349">
        <v>2</v>
      </c>
      <c r="E33" s="349">
        <v>3</v>
      </c>
      <c r="F33" s="349">
        <v>3.9</v>
      </c>
      <c r="G33" s="349">
        <v>3.4</v>
      </c>
      <c r="H33" s="349">
        <v>2.7</v>
      </c>
      <c r="I33" s="349">
        <v>1.6</v>
      </c>
      <c r="J33" s="516">
        <v>1.6</v>
      </c>
      <c r="K33" s="516">
        <v>1.8</v>
      </c>
      <c r="L33" s="516">
        <v>2.4</v>
      </c>
      <c r="M33" s="516">
        <v>0.8</v>
      </c>
      <c r="N33" s="516">
        <v>3.4</v>
      </c>
      <c r="O33" s="516">
        <v>3.6</v>
      </c>
      <c r="P33" s="516">
        <v>1.7</v>
      </c>
      <c r="Q33" s="516">
        <v>2.2999999999999998</v>
      </c>
      <c r="R33" s="516">
        <v>2.6</v>
      </c>
      <c r="S33" s="516"/>
      <c r="T33" s="516"/>
      <c r="U33" s="516"/>
      <c r="V33" s="516"/>
      <c r="W33" s="516"/>
    </row>
    <row r="34" spans="1:24" x14ac:dyDescent="0.25">
      <c r="A34" s="350"/>
      <c r="B34" s="347" t="s">
        <v>814</v>
      </c>
      <c r="C34" s="348"/>
      <c r="D34" s="349">
        <v>5.5</v>
      </c>
      <c r="E34" s="349">
        <v>11.1</v>
      </c>
      <c r="F34" s="349">
        <v>9.5</v>
      </c>
      <c r="G34" s="349">
        <v>10.5</v>
      </c>
      <c r="H34" s="349">
        <v>8.9</v>
      </c>
      <c r="I34" s="349">
        <v>7.6</v>
      </c>
      <c r="J34" s="516">
        <v>4.9000000000000004</v>
      </c>
      <c r="K34" s="516">
        <v>8.5</v>
      </c>
      <c r="L34" s="516">
        <v>9</v>
      </c>
      <c r="M34" s="516">
        <v>9.6999999999999993</v>
      </c>
      <c r="N34" s="516">
        <v>12.1</v>
      </c>
      <c r="O34" s="516">
        <v>10</v>
      </c>
      <c r="P34" s="516">
        <v>13.7</v>
      </c>
      <c r="Q34" s="516">
        <v>12.5</v>
      </c>
      <c r="R34" s="516">
        <v>13.5</v>
      </c>
      <c r="S34" s="516"/>
      <c r="T34" s="516"/>
      <c r="U34" s="516"/>
      <c r="V34" s="516"/>
      <c r="W34" s="516"/>
    </row>
    <row r="35" spans="1:24" x14ac:dyDescent="0.25">
      <c r="A35" s="351"/>
      <c r="B35" s="352" t="s">
        <v>815</v>
      </c>
      <c r="C35" s="353"/>
      <c r="D35" s="354">
        <v>48.8</v>
      </c>
      <c r="E35" s="354">
        <v>41.3</v>
      </c>
      <c r="F35" s="354">
        <v>44.1</v>
      </c>
      <c r="G35" s="354">
        <v>37.9</v>
      </c>
      <c r="H35" s="354">
        <v>39.4</v>
      </c>
      <c r="I35" s="354">
        <v>44.3</v>
      </c>
      <c r="J35" s="517">
        <v>50.3</v>
      </c>
      <c r="K35" s="517">
        <v>41.3</v>
      </c>
      <c r="L35" s="517">
        <v>48.2</v>
      </c>
      <c r="M35" s="517">
        <v>43.1</v>
      </c>
      <c r="N35" s="517">
        <v>41</v>
      </c>
      <c r="O35" s="517">
        <v>45.2</v>
      </c>
      <c r="P35" s="517">
        <v>42.5</v>
      </c>
      <c r="Q35" s="517">
        <v>48.3</v>
      </c>
      <c r="R35" s="517">
        <v>43.1</v>
      </c>
      <c r="S35" s="517"/>
      <c r="T35" s="517"/>
      <c r="U35" s="517"/>
      <c r="V35" s="517"/>
      <c r="W35" s="517"/>
      <c r="X35" s="361"/>
    </row>
    <row r="36" spans="1:24" x14ac:dyDescent="0.25">
      <c r="A36" s="360" t="s">
        <v>839</v>
      </c>
      <c r="E36" s="361"/>
      <c r="G36" s="361"/>
      <c r="H36" s="361"/>
      <c r="K36" s="361"/>
      <c r="N36" s="1343"/>
      <c r="O36" s="361"/>
      <c r="P36" s="361"/>
      <c r="Q36" s="361"/>
      <c r="R36" s="1422"/>
    </row>
    <row r="37" spans="1:24" x14ac:dyDescent="0.25">
      <c r="F37" s="361"/>
    </row>
  </sheetData>
  <mergeCells count="5">
    <mergeCell ref="A5:C5"/>
    <mergeCell ref="A4:C4"/>
    <mergeCell ref="A1:W1"/>
    <mergeCell ref="A2:W2"/>
    <mergeCell ref="D4:W4"/>
  </mergeCells>
  <phoneticPr fontId="0" type="noConversion"/>
  <printOptions horizontalCentered="1" verticalCentered="1"/>
  <pageMargins left="0.25" right="0.25" top="1" bottom="1" header="0.5" footer="0.5"/>
  <pageSetup scale="67" orientation="landscape" r:id="rId1"/>
  <headerFooter alignWithMargins="0">
    <oddFooter xml:space="preserve">&amp;RSource: Office of Institutional Research
</oddFooter>
  </headerFooter>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1"/>
  <dimension ref="A1:X36"/>
  <sheetViews>
    <sheetView workbookViewId="0">
      <selection sqref="A1:V1"/>
    </sheetView>
  </sheetViews>
  <sheetFormatPr defaultColWidth="9.109375" defaultRowHeight="13.2" x14ac:dyDescent="0.25"/>
  <cols>
    <col min="1" max="3" width="8.6640625" style="345" customWidth="1"/>
    <col min="4" max="12" width="10.6640625" style="345" hidden="1" customWidth="1"/>
    <col min="13" max="25" width="10.6640625" style="345" customWidth="1"/>
    <col min="26" max="16384" width="9.109375" style="345"/>
  </cols>
  <sheetData>
    <row r="1" spans="1:24" s="343" customFormat="1" ht="17.399999999999999" x14ac:dyDescent="0.3">
      <c r="A1" s="1836" t="s">
        <v>661</v>
      </c>
      <c r="B1" s="1836"/>
      <c r="C1" s="1836"/>
      <c r="D1" s="1836"/>
      <c r="E1" s="1836"/>
      <c r="F1" s="1836"/>
      <c r="G1" s="1836"/>
      <c r="H1" s="1836"/>
      <c r="I1" s="1836"/>
      <c r="J1" s="1836"/>
      <c r="K1" s="1836"/>
      <c r="L1" s="1836"/>
      <c r="M1" s="1836"/>
      <c r="N1" s="1836"/>
      <c r="O1" s="1836"/>
      <c r="P1" s="1836"/>
      <c r="Q1" s="1836"/>
      <c r="R1" s="1836"/>
      <c r="S1" s="1836"/>
      <c r="T1" s="1836"/>
      <c r="U1" s="1836"/>
      <c r="V1" s="1836"/>
      <c r="W1" s="1417"/>
    </row>
    <row r="2" spans="1:24" s="343" customFormat="1" ht="17.399999999999999" x14ac:dyDescent="0.3">
      <c r="A2" s="1837" t="s">
        <v>662</v>
      </c>
      <c r="B2" s="1837"/>
      <c r="C2" s="1837"/>
      <c r="D2" s="1837"/>
      <c r="E2" s="1837"/>
      <c r="F2" s="1837"/>
      <c r="G2" s="1837"/>
      <c r="H2" s="1837"/>
      <c r="I2" s="1837"/>
      <c r="J2" s="1837"/>
      <c r="K2" s="1837"/>
      <c r="L2" s="1837"/>
      <c r="M2" s="1837"/>
      <c r="N2" s="1837"/>
      <c r="O2" s="1837"/>
      <c r="P2" s="1837"/>
      <c r="Q2" s="1837"/>
      <c r="R2" s="1837"/>
      <c r="S2" s="1837"/>
      <c r="T2" s="1837"/>
      <c r="U2" s="1837"/>
      <c r="V2" s="1837"/>
      <c r="W2" s="1418"/>
    </row>
    <row r="3" spans="1:24" s="343" customFormat="1" ht="17.399999999999999" x14ac:dyDescent="0.3">
      <c r="A3" s="861"/>
      <c r="B3" s="861"/>
      <c r="C3" s="862"/>
      <c r="D3" s="1838" t="s">
        <v>810</v>
      </c>
      <c r="E3" s="1829"/>
      <c r="F3" s="1829"/>
      <c r="G3" s="1829"/>
      <c r="H3" s="1829"/>
      <c r="I3" s="1829"/>
      <c r="J3" s="1829"/>
      <c r="K3" s="1829"/>
      <c r="L3" s="1829"/>
      <c r="M3" s="1829"/>
      <c r="N3" s="1829"/>
      <c r="O3" s="1829"/>
      <c r="P3" s="1829"/>
      <c r="Q3" s="1829"/>
      <c r="R3" s="1829"/>
      <c r="S3" s="1829"/>
      <c r="T3" s="1829"/>
      <c r="U3" s="1829"/>
      <c r="V3" s="1829"/>
      <c r="W3" s="1421"/>
    </row>
    <row r="4" spans="1:24" ht="38.25" customHeight="1" x14ac:dyDescent="0.25">
      <c r="A4" s="1826" t="s">
        <v>657</v>
      </c>
      <c r="B4" s="1834"/>
      <c r="C4" s="1835"/>
      <c r="D4" s="344" t="s">
        <v>663</v>
      </c>
      <c r="E4" s="344" t="s">
        <v>664</v>
      </c>
      <c r="F4" s="344" t="s">
        <v>665</v>
      </c>
      <c r="G4" s="344" t="s">
        <v>666</v>
      </c>
      <c r="H4" s="344" t="s">
        <v>667</v>
      </c>
      <c r="I4" s="344" t="s">
        <v>668</v>
      </c>
      <c r="J4" s="344" t="s">
        <v>669</v>
      </c>
      <c r="K4" s="344" t="s">
        <v>670</v>
      </c>
      <c r="L4" s="344" t="s">
        <v>658</v>
      </c>
      <c r="M4" s="344" t="s">
        <v>1323</v>
      </c>
      <c r="N4" s="344" t="s">
        <v>682</v>
      </c>
      <c r="O4" s="344" t="s">
        <v>166</v>
      </c>
      <c r="P4" s="344" t="s">
        <v>238</v>
      </c>
      <c r="Q4" s="344" t="s">
        <v>1497</v>
      </c>
      <c r="R4" s="344" t="s">
        <v>1495</v>
      </c>
      <c r="S4" s="344" t="s">
        <v>1496</v>
      </c>
      <c r="T4" s="344" t="s">
        <v>1494</v>
      </c>
      <c r="U4" s="344" t="s">
        <v>1493</v>
      </c>
      <c r="V4" s="344" t="s">
        <v>1492</v>
      </c>
      <c r="W4" s="344" t="s">
        <v>1557</v>
      </c>
    </row>
    <row r="5" spans="1:24" x14ac:dyDescent="0.25">
      <c r="A5" s="346" t="s">
        <v>811</v>
      </c>
      <c r="B5" s="347"/>
      <c r="C5" s="348"/>
      <c r="D5" s="349"/>
      <c r="E5" s="349"/>
      <c r="F5" s="349"/>
      <c r="G5" s="349"/>
      <c r="H5" s="349"/>
      <c r="I5" s="349"/>
      <c r="J5" s="349"/>
      <c r="K5" s="349"/>
      <c r="L5" s="349"/>
      <c r="M5" s="349"/>
      <c r="N5" s="349"/>
      <c r="O5" s="349"/>
      <c r="P5" s="349"/>
      <c r="Q5" s="349"/>
      <c r="R5" s="349"/>
      <c r="S5" s="349"/>
      <c r="T5" s="349"/>
      <c r="U5" s="349"/>
      <c r="V5" s="349"/>
      <c r="W5" s="1344"/>
    </row>
    <row r="6" spans="1:24" x14ac:dyDescent="0.25">
      <c r="A6" s="350"/>
      <c r="B6" s="347" t="s">
        <v>812</v>
      </c>
      <c r="C6" s="348"/>
      <c r="D6" s="349">
        <v>2.1</v>
      </c>
      <c r="E6" s="349">
        <v>2</v>
      </c>
      <c r="F6" s="349">
        <v>0.6</v>
      </c>
      <c r="G6" s="349">
        <v>1.3</v>
      </c>
      <c r="H6" s="349">
        <v>1.3</v>
      </c>
      <c r="I6" s="349">
        <v>1.6</v>
      </c>
      <c r="J6" s="349">
        <v>0.7</v>
      </c>
      <c r="K6" s="516">
        <v>2.2999999999999998</v>
      </c>
      <c r="L6" s="516">
        <v>3.9</v>
      </c>
      <c r="M6" s="1344">
        <v>2.4</v>
      </c>
      <c r="N6" s="1344">
        <v>2.2000000000000002</v>
      </c>
      <c r="O6" s="1344">
        <v>1.2</v>
      </c>
      <c r="P6" s="1344">
        <v>0.6</v>
      </c>
      <c r="Q6" s="1344">
        <v>3.7</v>
      </c>
      <c r="R6" s="1344">
        <v>0.6</v>
      </c>
      <c r="S6" s="1344">
        <v>0</v>
      </c>
      <c r="T6" s="1344">
        <v>0.6</v>
      </c>
      <c r="U6" s="1344">
        <v>0.4</v>
      </c>
      <c r="V6" s="1344">
        <v>0.5</v>
      </c>
      <c r="W6" s="1344">
        <v>0</v>
      </c>
      <c r="X6" s="1345"/>
    </row>
    <row r="7" spans="1:24" x14ac:dyDescent="0.25">
      <c r="A7" s="350"/>
      <c r="B7" s="347" t="s">
        <v>813</v>
      </c>
      <c r="C7" s="348"/>
      <c r="D7" s="349">
        <v>69.8</v>
      </c>
      <c r="E7" s="349">
        <v>71.400000000000006</v>
      </c>
      <c r="F7" s="349">
        <v>72</v>
      </c>
      <c r="G7" s="349">
        <v>65.2</v>
      </c>
      <c r="H7" s="349">
        <v>66</v>
      </c>
      <c r="I7" s="349">
        <v>69.2</v>
      </c>
      <c r="J7" s="349">
        <v>59.4</v>
      </c>
      <c r="K7" s="516">
        <v>66.099999999999994</v>
      </c>
      <c r="L7" s="516">
        <v>66</v>
      </c>
      <c r="M7" s="1344">
        <v>66.3</v>
      </c>
      <c r="N7" s="1344">
        <v>57.4</v>
      </c>
      <c r="O7" s="1344">
        <v>61.4</v>
      </c>
      <c r="P7" s="1344">
        <v>66.099999999999994</v>
      </c>
      <c r="Q7" s="1344">
        <v>67.3</v>
      </c>
      <c r="R7" s="1344">
        <v>63.5</v>
      </c>
      <c r="S7" s="1344">
        <v>66.099999999999994</v>
      </c>
      <c r="T7" s="1344">
        <v>64.099999999999994</v>
      </c>
      <c r="U7" s="1344">
        <v>66.099999999999994</v>
      </c>
      <c r="V7" s="1344">
        <v>65.099999999999994</v>
      </c>
      <c r="W7" s="1344">
        <v>72.599999999999994</v>
      </c>
      <c r="X7" s="1345"/>
    </row>
    <row r="8" spans="1:24" x14ac:dyDescent="0.25">
      <c r="A8" s="350"/>
      <c r="B8" s="347" t="s">
        <v>814</v>
      </c>
      <c r="C8" s="348"/>
      <c r="D8" s="349">
        <v>1</v>
      </c>
      <c r="E8" s="349">
        <v>7</v>
      </c>
      <c r="F8" s="349">
        <v>10.4</v>
      </c>
      <c r="G8" s="349">
        <v>8.9</v>
      </c>
      <c r="H8" s="349">
        <v>6.4</v>
      </c>
      <c r="I8" s="349">
        <v>11</v>
      </c>
      <c r="J8" s="349">
        <v>0.7</v>
      </c>
      <c r="K8" s="516">
        <v>9.1999999999999993</v>
      </c>
      <c r="L8" s="516">
        <v>9.8000000000000007</v>
      </c>
      <c r="M8" s="1344">
        <v>7.1</v>
      </c>
      <c r="N8" s="1344">
        <v>7.1</v>
      </c>
      <c r="O8" s="1344">
        <v>11.1</v>
      </c>
      <c r="P8" s="1344">
        <v>5.4</v>
      </c>
      <c r="Q8" s="1344">
        <v>5</v>
      </c>
      <c r="R8" s="1344">
        <v>10.1</v>
      </c>
      <c r="S8" s="1344">
        <v>5.6</v>
      </c>
      <c r="T8" s="1344">
        <v>11.6</v>
      </c>
      <c r="U8" s="1344">
        <v>4.8</v>
      </c>
      <c r="V8" s="1344">
        <v>5.9</v>
      </c>
      <c r="W8" s="1344">
        <v>7.4</v>
      </c>
      <c r="X8" s="1345"/>
    </row>
    <row r="9" spans="1:24" x14ac:dyDescent="0.25">
      <c r="A9" s="351"/>
      <c r="B9" s="352" t="s">
        <v>815</v>
      </c>
      <c r="C9" s="353"/>
      <c r="D9" s="354">
        <v>27.1</v>
      </c>
      <c r="E9" s="354">
        <v>19.600000000000001</v>
      </c>
      <c r="F9" s="354">
        <v>17.100000000000001</v>
      </c>
      <c r="G9" s="354">
        <v>24.7</v>
      </c>
      <c r="H9" s="354">
        <v>26.3</v>
      </c>
      <c r="I9" s="354">
        <v>18.100000000000001</v>
      </c>
      <c r="J9" s="354">
        <v>39.1</v>
      </c>
      <c r="K9" s="517">
        <v>22.4</v>
      </c>
      <c r="L9" s="517">
        <v>20.3</v>
      </c>
      <c r="M9" s="1346">
        <v>24.2</v>
      </c>
      <c r="N9" s="1346">
        <v>33.299999999999997</v>
      </c>
      <c r="O9" s="1346">
        <v>26.3</v>
      </c>
      <c r="P9" s="1346">
        <v>27.9</v>
      </c>
      <c r="Q9" s="1346">
        <v>24</v>
      </c>
      <c r="R9" s="1346">
        <v>25.8</v>
      </c>
      <c r="S9" s="1346">
        <v>28.3</v>
      </c>
      <c r="T9" s="1346">
        <v>23.7</v>
      </c>
      <c r="U9" s="1346">
        <v>28.7</v>
      </c>
      <c r="V9" s="1346">
        <v>28.5</v>
      </c>
      <c r="W9" s="1346">
        <v>20</v>
      </c>
      <c r="X9" s="1345"/>
    </row>
    <row r="10" spans="1:24" x14ac:dyDescent="0.25">
      <c r="A10" s="355" t="s">
        <v>816</v>
      </c>
      <c r="B10" s="347"/>
      <c r="C10" s="348"/>
      <c r="D10" s="349"/>
      <c r="E10" s="349"/>
      <c r="F10" s="349"/>
      <c r="G10" s="349"/>
      <c r="H10" s="349"/>
      <c r="I10" s="349"/>
      <c r="J10" s="349"/>
      <c r="K10" s="516"/>
      <c r="L10" s="516"/>
      <c r="M10" s="1344"/>
      <c r="N10" s="1344"/>
      <c r="O10" s="1344"/>
      <c r="P10" s="1344"/>
      <c r="Q10" s="1344"/>
      <c r="R10" s="1344"/>
      <c r="S10" s="1344"/>
      <c r="T10" s="1344"/>
      <c r="U10" s="1344"/>
      <c r="V10" s="1344"/>
      <c r="W10" s="1344"/>
      <c r="X10" s="1345"/>
    </row>
    <row r="11" spans="1:24" x14ac:dyDescent="0.25">
      <c r="A11" s="350"/>
      <c r="B11" s="347" t="s">
        <v>812</v>
      </c>
      <c r="C11" s="348"/>
      <c r="D11" s="349">
        <v>13.5</v>
      </c>
      <c r="E11" s="349">
        <v>18.100000000000001</v>
      </c>
      <c r="F11" s="349">
        <v>12.2</v>
      </c>
      <c r="G11" s="349">
        <v>14.6</v>
      </c>
      <c r="H11" s="349">
        <v>16.7</v>
      </c>
      <c r="I11" s="349">
        <v>15.9</v>
      </c>
      <c r="J11" s="349">
        <v>9.4</v>
      </c>
      <c r="K11" s="516">
        <v>13.2</v>
      </c>
      <c r="L11" s="516">
        <v>14.4</v>
      </c>
      <c r="M11" s="1344">
        <v>10.1</v>
      </c>
      <c r="N11" s="1344">
        <v>13.7</v>
      </c>
      <c r="O11" s="1344">
        <v>7.6</v>
      </c>
      <c r="P11" s="1344">
        <v>18.399999999999999</v>
      </c>
      <c r="Q11" s="1344">
        <v>10.1</v>
      </c>
      <c r="R11" s="1344">
        <v>6.9</v>
      </c>
      <c r="S11" s="1344">
        <v>10.6</v>
      </c>
      <c r="T11" s="1344">
        <v>9.9</v>
      </c>
      <c r="U11" s="1344">
        <v>7</v>
      </c>
      <c r="V11" s="1344">
        <v>8.1</v>
      </c>
      <c r="W11" s="1344"/>
      <c r="X11" s="1345"/>
    </row>
    <row r="12" spans="1:24" x14ac:dyDescent="0.25">
      <c r="A12" s="350"/>
      <c r="B12" s="347" t="s">
        <v>813</v>
      </c>
      <c r="C12" s="348"/>
      <c r="D12" s="349">
        <v>49.5</v>
      </c>
      <c r="E12" s="349">
        <v>50.3</v>
      </c>
      <c r="F12" s="349">
        <v>49.4</v>
      </c>
      <c r="G12" s="349">
        <v>44.3</v>
      </c>
      <c r="H12" s="349">
        <v>41</v>
      </c>
      <c r="I12" s="349">
        <v>50</v>
      </c>
      <c r="J12" s="349">
        <v>42.8</v>
      </c>
      <c r="K12" s="516">
        <v>48.3</v>
      </c>
      <c r="L12" s="516">
        <v>47.7</v>
      </c>
      <c r="M12" s="1344">
        <v>40.799999999999997</v>
      </c>
      <c r="N12" s="1344">
        <v>35.5</v>
      </c>
      <c r="O12" s="1344">
        <v>49.7</v>
      </c>
      <c r="P12" s="1344">
        <v>47.5</v>
      </c>
      <c r="Q12" s="1344">
        <v>49.1</v>
      </c>
      <c r="R12" s="1344">
        <v>46.5</v>
      </c>
      <c r="S12" s="1344">
        <v>50.6</v>
      </c>
      <c r="T12" s="1344">
        <v>46.4</v>
      </c>
      <c r="U12" s="1344">
        <v>50.9</v>
      </c>
      <c r="V12" s="1344">
        <v>51.1</v>
      </c>
      <c r="W12" s="1344"/>
      <c r="X12" s="1345"/>
    </row>
    <row r="13" spans="1:24" x14ac:dyDescent="0.25">
      <c r="A13" s="350"/>
      <c r="B13" s="347" t="s">
        <v>814</v>
      </c>
      <c r="C13" s="348"/>
      <c r="D13" s="349">
        <v>6.3</v>
      </c>
      <c r="E13" s="349">
        <v>7</v>
      </c>
      <c r="F13" s="349">
        <v>12.8</v>
      </c>
      <c r="G13" s="349">
        <v>8.9</v>
      </c>
      <c r="H13" s="349">
        <v>9</v>
      </c>
      <c r="I13" s="349">
        <v>9.3000000000000007</v>
      </c>
      <c r="J13" s="349">
        <v>6.5</v>
      </c>
      <c r="K13" s="516">
        <v>10.9</v>
      </c>
      <c r="L13" s="516">
        <v>9.8000000000000007</v>
      </c>
      <c r="M13" s="1344">
        <v>9.5</v>
      </c>
      <c r="N13" s="1344">
        <v>9.8000000000000007</v>
      </c>
      <c r="O13" s="1344">
        <v>15.2</v>
      </c>
      <c r="P13" s="1344">
        <v>8.9</v>
      </c>
      <c r="Q13" s="1344">
        <v>7.5</v>
      </c>
      <c r="R13" s="1344">
        <v>12.6</v>
      </c>
      <c r="S13" s="1344">
        <v>6.7</v>
      </c>
      <c r="T13" s="1344">
        <v>16.600000000000001</v>
      </c>
      <c r="U13" s="1344">
        <v>5.7</v>
      </c>
      <c r="V13" s="1344">
        <v>7</v>
      </c>
      <c r="W13" s="1344"/>
      <c r="X13" s="1345"/>
    </row>
    <row r="14" spans="1:24" x14ac:dyDescent="0.25">
      <c r="A14" s="351"/>
      <c r="B14" s="352" t="s">
        <v>815</v>
      </c>
      <c r="C14" s="353"/>
      <c r="D14" s="354">
        <v>30.7</v>
      </c>
      <c r="E14" s="354">
        <v>24.6</v>
      </c>
      <c r="F14" s="354">
        <v>25.6</v>
      </c>
      <c r="G14" s="354">
        <v>32.299999999999997</v>
      </c>
      <c r="H14" s="354">
        <v>33.299999999999997</v>
      </c>
      <c r="I14" s="354">
        <v>24.7</v>
      </c>
      <c r="J14" s="354">
        <v>41.3</v>
      </c>
      <c r="K14" s="517">
        <v>27.6</v>
      </c>
      <c r="L14" s="517">
        <v>28.1</v>
      </c>
      <c r="M14" s="1346">
        <v>39.6</v>
      </c>
      <c r="N14" s="1346">
        <v>41</v>
      </c>
      <c r="O14" s="1346">
        <v>27.5</v>
      </c>
      <c r="P14" s="1346">
        <v>25.2</v>
      </c>
      <c r="Q14" s="1346">
        <v>33.299999999999997</v>
      </c>
      <c r="R14" s="1346">
        <v>34</v>
      </c>
      <c r="S14" s="1346">
        <v>32.1</v>
      </c>
      <c r="T14" s="1346">
        <v>27.1</v>
      </c>
      <c r="U14" s="1346">
        <v>36.4</v>
      </c>
      <c r="V14" s="1346">
        <v>33.799999999999997</v>
      </c>
      <c r="W14" s="1346"/>
      <c r="X14" s="1345"/>
    </row>
    <row r="15" spans="1:24" x14ac:dyDescent="0.25">
      <c r="A15" s="355" t="s">
        <v>819</v>
      </c>
      <c r="B15" s="347"/>
      <c r="C15" s="348"/>
      <c r="D15" s="349"/>
      <c r="E15" s="349"/>
      <c r="F15" s="349"/>
      <c r="G15" s="349"/>
      <c r="H15" s="349"/>
      <c r="I15" s="349"/>
      <c r="J15" s="349"/>
      <c r="K15" s="516"/>
      <c r="L15" s="516"/>
      <c r="M15" s="1344"/>
      <c r="N15" s="1344"/>
      <c r="O15" s="1344"/>
      <c r="P15" s="1344"/>
      <c r="Q15" s="1344"/>
      <c r="R15" s="1344"/>
      <c r="S15" s="1344"/>
      <c r="T15" s="1344"/>
      <c r="U15" s="1344"/>
      <c r="V15" s="1344"/>
      <c r="W15" s="1344"/>
      <c r="X15" s="1345"/>
    </row>
    <row r="16" spans="1:24" x14ac:dyDescent="0.25">
      <c r="A16" s="350"/>
      <c r="B16" s="347" t="s">
        <v>812</v>
      </c>
      <c r="C16" s="348"/>
      <c r="D16" s="349">
        <v>35.4</v>
      </c>
      <c r="E16" s="349">
        <v>41.2</v>
      </c>
      <c r="F16" s="349">
        <v>36.6</v>
      </c>
      <c r="G16" s="349">
        <v>37.299999999999997</v>
      </c>
      <c r="H16" s="349">
        <v>37.799999999999997</v>
      </c>
      <c r="I16" s="349">
        <v>36.299999999999997</v>
      </c>
      <c r="J16" s="349">
        <v>31.2</v>
      </c>
      <c r="K16" s="516">
        <v>32.799999999999997</v>
      </c>
      <c r="L16" s="516">
        <v>37.9</v>
      </c>
      <c r="M16" s="1344">
        <v>32</v>
      </c>
      <c r="N16" s="1344">
        <v>31.7</v>
      </c>
      <c r="O16" s="1344">
        <v>28.1</v>
      </c>
      <c r="P16" s="1344">
        <v>36.9</v>
      </c>
      <c r="Q16" s="1344">
        <v>27.7</v>
      </c>
      <c r="R16" s="1344">
        <v>23.3</v>
      </c>
      <c r="S16" s="1344">
        <v>32.200000000000003</v>
      </c>
      <c r="T16" s="1344">
        <v>26</v>
      </c>
      <c r="U16" s="1344">
        <v>25.3</v>
      </c>
      <c r="V16" s="1344"/>
      <c r="W16" s="1344"/>
      <c r="X16" s="1345"/>
    </row>
    <row r="17" spans="1:24" x14ac:dyDescent="0.25">
      <c r="A17" s="350"/>
      <c r="B17" s="347" t="s">
        <v>813</v>
      </c>
      <c r="C17" s="348"/>
      <c r="D17" s="349">
        <v>22.9</v>
      </c>
      <c r="E17" s="349">
        <v>20.6</v>
      </c>
      <c r="F17" s="349">
        <v>18.3</v>
      </c>
      <c r="G17" s="349">
        <v>17.100000000000001</v>
      </c>
      <c r="H17" s="349">
        <v>16</v>
      </c>
      <c r="I17" s="349">
        <v>23.6</v>
      </c>
      <c r="J17" s="349">
        <v>18.100000000000001</v>
      </c>
      <c r="K17" s="516">
        <v>25.9</v>
      </c>
      <c r="L17" s="516">
        <v>16.3</v>
      </c>
      <c r="M17" s="1344">
        <v>15.4</v>
      </c>
      <c r="N17" s="1344">
        <v>20.2</v>
      </c>
      <c r="O17" s="1344">
        <v>27.5</v>
      </c>
      <c r="P17" s="1344">
        <v>19.600000000000001</v>
      </c>
      <c r="Q17" s="1344">
        <v>30.8</v>
      </c>
      <c r="R17" s="1344">
        <v>24.5</v>
      </c>
      <c r="S17" s="1344">
        <v>23.3</v>
      </c>
      <c r="T17" s="1344">
        <v>22.7</v>
      </c>
      <c r="U17" s="1344">
        <v>27.1</v>
      </c>
      <c r="V17" s="1344"/>
      <c r="W17" s="1344"/>
      <c r="X17" s="1345"/>
    </row>
    <row r="18" spans="1:24" x14ac:dyDescent="0.25">
      <c r="A18" s="350"/>
      <c r="B18" s="347" t="s">
        <v>814</v>
      </c>
      <c r="C18" s="348"/>
      <c r="D18" s="349">
        <v>7.8</v>
      </c>
      <c r="E18" s="349">
        <v>7.5</v>
      </c>
      <c r="F18" s="349">
        <v>13.4</v>
      </c>
      <c r="G18" s="349">
        <v>8.1999999999999993</v>
      </c>
      <c r="H18" s="349">
        <v>9</v>
      </c>
      <c r="I18" s="349">
        <v>9.3000000000000007</v>
      </c>
      <c r="J18" s="349">
        <v>6.5</v>
      </c>
      <c r="K18" s="516">
        <v>10.9</v>
      </c>
      <c r="L18" s="516">
        <v>10.5</v>
      </c>
      <c r="M18" s="1344">
        <v>11.2</v>
      </c>
      <c r="N18" s="1344">
        <v>9.3000000000000007</v>
      </c>
      <c r="O18" s="1344">
        <v>15.8</v>
      </c>
      <c r="P18" s="1344">
        <v>11.3</v>
      </c>
      <c r="Q18" s="1344">
        <v>7.5</v>
      </c>
      <c r="R18" s="1344">
        <v>13.8</v>
      </c>
      <c r="S18" s="1344">
        <v>7.2</v>
      </c>
      <c r="T18" s="1344">
        <v>20.399999999999999</v>
      </c>
      <c r="U18" s="1344">
        <v>7.4</v>
      </c>
      <c r="V18" s="1344"/>
      <c r="W18" s="1344"/>
      <c r="X18" s="1345"/>
    </row>
    <row r="19" spans="1:24" x14ac:dyDescent="0.25">
      <c r="A19" s="351"/>
      <c r="B19" s="352" t="s">
        <v>815</v>
      </c>
      <c r="C19" s="353"/>
      <c r="D19" s="354">
        <v>33.9</v>
      </c>
      <c r="E19" s="354">
        <v>30.7</v>
      </c>
      <c r="F19" s="354">
        <v>31.7</v>
      </c>
      <c r="G19" s="354">
        <v>37.299999999999997</v>
      </c>
      <c r="H19" s="354">
        <v>37.200000000000003</v>
      </c>
      <c r="I19" s="354">
        <v>30.8</v>
      </c>
      <c r="J19" s="354">
        <v>44.2</v>
      </c>
      <c r="K19" s="517">
        <v>30.5</v>
      </c>
      <c r="L19" s="517">
        <v>35.299999999999997</v>
      </c>
      <c r="M19" s="1346">
        <v>41.4</v>
      </c>
      <c r="N19" s="1346">
        <v>38.799999999999997</v>
      </c>
      <c r="O19" s="1346">
        <f>100-O18-O17-O16</f>
        <v>28.6</v>
      </c>
      <c r="P19" s="1346">
        <v>32.200000000000003</v>
      </c>
      <c r="Q19" s="1346">
        <v>34</v>
      </c>
      <c r="R19" s="1346">
        <v>38.4</v>
      </c>
      <c r="S19" s="1346">
        <v>37.299999999999997</v>
      </c>
      <c r="T19" s="1346">
        <v>30.9</v>
      </c>
      <c r="U19" s="1346">
        <v>40.200000000000003</v>
      </c>
      <c r="V19" s="1346"/>
      <c r="W19" s="1346"/>
      <c r="X19" s="1345"/>
    </row>
    <row r="20" spans="1:24" x14ac:dyDescent="0.25">
      <c r="A20" s="355" t="s">
        <v>836</v>
      </c>
      <c r="B20" s="347"/>
      <c r="C20" s="348"/>
      <c r="D20" s="349"/>
      <c r="E20" s="349"/>
      <c r="F20" s="349"/>
      <c r="G20" s="349"/>
      <c r="H20" s="349"/>
      <c r="I20" s="349"/>
      <c r="J20" s="349"/>
      <c r="K20" s="516"/>
      <c r="L20" s="516"/>
      <c r="M20" s="516"/>
      <c r="N20" s="516"/>
      <c r="O20" s="516"/>
      <c r="P20" s="516"/>
      <c r="Q20" s="516"/>
      <c r="R20" s="516"/>
      <c r="S20" s="516"/>
      <c r="T20" s="1344"/>
      <c r="U20" s="516"/>
      <c r="V20" s="516"/>
      <c r="W20" s="516"/>
    </row>
    <row r="21" spans="1:24" x14ac:dyDescent="0.25">
      <c r="A21" s="350"/>
      <c r="B21" s="356" t="s">
        <v>812</v>
      </c>
      <c r="C21" s="357"/>
      <c r="D21" s="358">
        <v>47.9</v>
      </c>
      <c r="E21" s="358">
        <v>52.8</v>
      </c>
      <c r="F21" s="358">
        <v>47</v>
      </c>
      <c r="G21" s="358">
        <v>45.6</v>
      </c>
      <c r="H21" s="358">
        <v>46.2</v>
      </c>
      <c r="I21" s="358">
        <v>54.4</v>
      </c>
      <c r="J21" s="358">
        <v>42</v>
      </c>
      <c r="K21" s="762">
        <v>48.3</v>
      </c>
      <c r="L21" s="762">
        <v>51</v>
      </c>
      <c r="M21" s="762">
        <v>46.7</v>
      </c>
      <c r="N21" s="762">
        <v>39.299999999999997</v>
      </c>
      <c r="O21" s="762">
        <v>43.9</v>
      </c>
      <c r="P21" s="762">
        <v>51.8</v>
      </c>
      <c r="Q21" s="762">
        <v>51.6</v>
      </c>
      <c r="R21" s="762">
        <v>37.1</v>
      </c>
      <c r="S21" s="762">
        <v>48.9</v>
      </c>
      <c r="T21" s="762">
        <v>41.4</v>
      </c>
      <c r="U21" s="762"/>
      <c r="V21" s="762"/>
      <c r="W21" s="762"/>
    </row>
    <row r="22" spans="1:24" x14ac:dyDescent="0.25">
      <c r="A22" s="350"/>
      <c r="B22" s="347" t="s">
        <v>813</v>
      </c>
      <c r="C22" s="348"/>
      <c r="D22" s="349">
        <v>9.4</v>
      </c>
      <c r="E22" s="349">
        <v>5.5</v>
      </c>
      <c r="F22" s="349">
        <v>7.9</v>
      </c>
      <c r="G22" s="349">
        <v>6.3</v>
      </c>
      <c r="H22" s="349">
        <v>7.7</v>
      </c>
      <c r="I22" s="349">
        <v>6</v>
      </c>
      <c r="J22" s="349">
        <v>7.2</v>
      </c>
      <c r="K22" s="516">
        <v>9.8000000000000007</v>
      </c>
      <c r="L22" s="516">
        <v>4.5999999999999996</v>
      </c>
      <c r="M22" s="516">
        <v>7.7</v>
      </c>
      <c r="N22" s="516">
        <v>9.3000000000000007</v>
      </c>
      <c r="O22" s="516">
        <v>9.4</v>
      </c>
      <c r="P22" s="516">
        <v>4.8</v>
      </c>
      <c r="Q22" s="516">
        <v>10.1</v>
      </c>
      <c r="R22" s="516">
        <v>10.7</v>
      </c>
      <c r="S22" s="516">
        <v>6.7</v>
      </c>
      <c r="T22" s="516">
        <v>11.1</v>
      </c>
      <c r="U22" s="516"/>
      <c r="V22" s="516"/>
      <c r="W22" s="516"/>
    </row>
    <row r="23" spans="1:24" x14ac:dyDescent="0.25">
      <c r="A23" s="350"/>
      <c r="B23" s="347" t="s">
        <v>814</v>
      </c>
      <c r="C23" s="348"/>
      <c r="D23" s="349">
        <v>8.9</v>
      </c>
      <c r="E23" s="349">
        <v>9.5</v>
      </c>
      <c r="F23" s="349">
        <v>15.2</v>
      </c>
      <c r="G23" s="349">
        <v>7.6</v>
      </c>
      <c r="H23" s="349">
        <v>11.5</v>
      </c>
      <c r="I23" s="349">
        <v>9.9</v>
      </c>
      <c r="J23" s="349">
        <v>6.5</v>
      </c>
      <c r="K23" s="516">
        <v>11.5</v>
      </c>
      <c r="L23" s="516">
        <v>9.8000000000000007</v>
      </c>
      <c r="M23" s="516">
        <v>11.2</v>
      </c>
      <c r="N23" s="516">
        <v>9.3000000000000007</v>
      </c>
      <c r="O23" s="516">
        <v>17.5</v>
      </c>
      <c r="P23" s="516">
        <v>12.5</v>
      </c>
      <c r="Q23" s="516">
        <v>7.5</v>
      </c>
      <c r="R23" s="516">
        <v>14.5</v>
      </c>
      <c r="S23" s="516">
        <v>7.8</v>
      </c>
      <c r="T23" s="516">
        <v>13.3</v>
      </c>
      <c r="U23" s="516"/>
      <c r="V23" s="516"/>
      <c r="W23" s="516"/>
    </row>
    <row r="24" spans="1:24" x14ac:dyDescent="0.25">
      <c r="A24" s="351"/>
      <c r="B24" s="352" t="s">
        <v>815</v>
      </c>
      <c r="C24" s="353"/>
      <c r="D24" s="354">
        <v>33.9</v>
      </c>
      <c r="E24" s="354">
        <v>32.200000000000003</v>
      </c>
      <c r="F24" s="354">
        <v>29.9</v>
      </c>
      <c r="G24" s="354">
        <v>40.5</v>
      </c>
      <c r="H24" s="354">
        <v>34.6</v>
      </c>
      <c r="I24" s="354">
        <v>29.7</v>
      </c>
      <c r="J24" s="354">
        <v>44.2</v>
      </c>
      <c r="K24" s="517">
        <v>30.5</v>
      </c>
      <c r="L24" s="517">
        <v>34.6</v>
      </c>
      <c r="M24" s="517">
        <v>34.4</v>
      </c>
      <c r="N24" s="517">
        <f>100-N23-N22-N21</f>
        <v>42.100000000000009</v>
      </c>
      <c r="O24" s="517">
        <v>29.2</v>
      </c>
      <c r="P24" s="517">
        <v>30.9</v>
      </c>
      <c r="Q24" s="1346">
        <v>30.8</v>
      </c>
      <c r="R24" s="517">
        <v>37.700000000000003</v>
      </c>
      <c r="S24" s="517">
        <v>36.6</v>
      </c>
      <c r="T24" s="517">
        <v>34.200000000000003</v>
      </c>
      <c r="U24" s="517"/>
      <c r="V24" s="517"/>
      <c r="W24" s="517"/>
    </row>
    <row r="25" spans="1:24" x14ac:dyDescent="0.25">
      <c r="A25" s="355" t="s">
        <v>837</v>
      </c>
      <c r="B25" s="347"/>
      <c r="C25" s="348"/>
      <c r="D25" s="349"/>
      <c r="E25" s="349"/>
      <c r="F25" s="349"/>
      <c r="G25" s="349"/>
      <c r="H25" s="349"/>
      <c r="I25" s="349"/>
      <c r="J25" s="349"/>
      <c r="K25" s="516"/>
      <c r="L25" s="516"/>
      <c r="M25" s="516"/>
      <c r="N25" s="516"/>
      <c r="O25" s="516"/>
      <c r="P25" s="516"/>
      <c r="Q25" s="516"/>
      <c r="R25" s="516"/>
      <c r="S25" s="1344"/>
      <c r="T25" s="516"/>
      <c r="U25" s="516"/>
      <c r="V25" s="516"/>
      <c r="W25" s="516"/>
    </row>
    <row r="26" spans="1:24" x14ac:dyDescent="0.25">
      <c r="A26" s="350"/>
      <c r="B26" s="347" t="s">
        <v>812</v>
      </c>
      <c r="C26" s="348"/>
      <c r="D26" s="349">
        <v>52.1</v>
      </c>
      <c r="E26" s="349">
        <v>56.8</v>
      </c>
      <c r="F26" s="349">
        <v>49.4</v>
      </c>
      <c r="G26" s="349">
        <v>49.4</v>
      </c>
      <c r="H26" s="349">
        <v>50.6</v>
      </c>
      <c r="I26" s="349">
        <v>56.6</v>
      </c>
      <c r="J26" s="349">
        <v>46.4</v>
      </c>
      <c r="K26" s="516">
        <v>54.6</v>
      </c>
      <c r="L26" s="516">
        <v>53.3</v>
      </c>
      <c r="M26" s="516">
        <v>50.3</v>
      </c>
      <c r="N26" s="1344">
        <v>43.2</v>
      </c>
      <c r="O26" s="1344">
        <v>49.7</v>
      </c>
      <c r="P26" s="1344">
        <v>54.8</v>
      </c>
      <c r="Q26" s="1344">
        <v>56.6</v>
      </c>
      <c r="R26" s="1344">
        <v>45.9</v>
      </c>
      <c r="S26" s="516">
        <v>52.8</v>
      </c>
      <c r="T26" s="516"/>
      <c r="U26" s="516"/>
      <c r="V26" s="516"/>
      <c r="W26" s="516"/>
    </row>
    <row r="27" spans="1:24" x14ac:dyDescent="0.25">
      <c r="A27" s="350"/>
      <c r="B27" s="347" t="s">
        <v>813</v>
      </c>
      <c r="C27" s="348"/>
      <c r="D27" s="349">
        <v>5.7</v>
      </c>
      <c r="E27" s="349">
        <v>2.5</v>
      </c>
      <c r="F27" s="349">
        <v>3.7</v>
      </c>
      <c r="G27" s="349">
        <v>2.5</v>
      </c>
      <c r="H27" s="349">
        <v>3.8</v>
      </c>
      <c r="I27" s="349">
        <v>6</v>
      </c>
      <c r="J27" s="349">
        <v>2.2000000000000002</v>
      </c>
      <c r="K27" s="516">
        <v>1.1000000000000001</v>
      </c>
      <c r="L27" s="516">
        <v>2.6</v>
      </c>
      <c r="M27" s="516">
        <v>7.3</v>
      </c>
      <c r="N27" s="516">
        <v>4.4000000000000004</v>
      </c>
      <c r="O27" s="516">
        <v>4.0999999999999996</v>
      </c>
      <c r="P27" s="516">
        <v>2.4</v>
      </c>
      <c r="Q27" s="516">
        <v>2.5</v>
      </c>
      <c r="R27" s="516">
        <v>2.5</v>
      </c>
      <c r="S27" s="516">
        <v>2.8</v>
      </c>
      <c r="T27" s="516"/>
      <c r="U27" s="516"/>
      <c r="V27" s="516"/>
      <c r="W27" s="516"/>
    </row>
    <row r="28" spans="1:24" x14ac:dyDescent="0.25">
      <c r="A28" s="350"/>
      <c r="B28" s="347" t="s">
        <v>814</v>
      </c>
      <c r="C28" s="348"/>
      <c r="D28" s="349">
        <v>8.3000000000000007</v>
      </c>
      <c r="E28" s="349">
        <v>8.5</v>
      </c>
      <c r="F28" s="349">
        <v>15.2</v>
      </c>
      <c r="G28" s="349">
        <v>7.6</v>
      </c>
      <c r="H28" s="349">
        <v>11.5</v>
      </c>
      <c r="I28" s="349">
        <v>9.9</v>
      </c>
      <c r="J28" s="349">
        <v>6.5</v>
      </c>
      <c r="K28" s="516">
        <v>12.6</v>
      </c>
      <c r="L28" s="516">
        <v>10.5</v>
      </c>
      <c r="M28" s="516">
        <v>11.8</v>
      </c>
      <c r="N28" s="516">
        <v>9.3000000000000007</v>
      </c>
      <c r="O28" s="516">
        <v>17.5</v>
      </c>
      <c r="P28" s="516">
        <v>13.1</v>
      </c>
      <c r="Q28" s="516">
        <v>8.1999999999999993</v>
      </c>
      <c r="R28" s="516">
        <v>14.5</v>
      </c>
      <c r="S28" s="516">
        <v>7.8</v>
      </c>
      <c r="T28" s="516"/>
      <c r="U28" s="516"/>
      <c r="V28" s="516"/>
      <c r="W28" s="516"/>
    </row>
    <row r="29" spans="1:24" x14ac:dyDescent="0.25">
      <c r="A29" s="351"/>
      <c r="B29" s="352" t="s">
        <v>815</v>
      </c>
      <c r="C29" s="353"/>
      <c r="D29" s="354">
        <v>33.9</v>
      </c>
      <c r="E29" s="354">
        <v>32.200000000000003</v>
      </c>
      <c r="F29" s="354">
        <v>31.7</v>
      </c>
      <c r="G29" s="354">
        <v>40.5</v>
      </c>
      <c r="H29" s="354">
        <v>34</v>
      </c>
      <c r="I29" s="354">
        <v>27.5</v>
      </c>
      <c r="J29" s="354">
        <v>44.9</v>
      </c>
      <c r="K29" s="517">
        <v>31.6</v>
      </c>
      <c r="L29" s="517">
        <v>33.6</v>
      </c>
      <c r="M29" s="517">
        <v>30.6</v>
      </c>
      <c r="N29" s="517">
        <v>43.1</v>
      </c>
      <c r="O29" s="517">
        <v>28.7</v>
      </c>
      <c r="P29" s="517">
        <v>29.7</v>
      </c>
      <c r="Q29" s="1346">
        <v>32.700000000000003</v>
      </c>
      <c r="R29" s="517">
        <v>37.1</v>
      </c>
      <c r="S29" s="517">
        <v>36.6</v>
      </c>
      <c r="T29" s="517"/>
      <c r="U29" s="517"/>
      <c r="V29" s="517"/>
      <c r="W29" s="517"/>
    </row>
    <row r="30" spans="1:24" x14ac:dyDescent="0.25">
      <c r="A30" s="355" t="s">
        <v>838</v>
      </c>
      <c r="B30" s="347"/>
      <c r="C30" s="348"/>
      <c r="D30" s="349"/>
      <c r="E30" s="349"/>
      <c r="F30" s="349"/>
      <c r="G30" s="349"/>
      <c r="H30" s="349"/>
      <c r="I30" s="349"/>
      <c r="J30" s="516"/>
      <c r="K30" s="516"/>
      <c r="L30" s="516"/>
      <c r="M30" s="516"/>
      <c r="N30" s="516"/>
      <c r="O30" s="516"/>
      <c r="P30" s="516"/>
      <c r="Q30" s="516"/>
      <c r="R30" s="1344"/>
      <c r="S30" s="516"/>
      <c r="T30" s="516"/>
      <c r="U30" s="516"/>
      <c r="V30" s="516"/>
      <c r="W30" s="516"/>
    </row>
    <row r="31" spans="1:24" x14ac:dyDescent="0.25">
      <c r="A31" s="350"/>
      <c r="B31" s="356" t="s">
        <v>812</v>
      </c>
      <c r="C31" s="357"/>
      <c r="D31" s="358">
        <v>55.7</v>
      </c>
      <c r="E31" s="358">
        <v>58.8</v>
      </c>
      <c r="F31" s="358">
        <v>50.6</v>
      </c>
      <c r="G31" s="358">
        <v>50.6</v>
      </c>
      <c r="H31" s="358">
        <v>51.9</v>
      </c>
      <c r="I31" s="359">
        <v>61</v>
      </c>
      <c r="J31" s="762">
        <v>47.1</v>
      </c>
      <c r="K31" s="762">
        <v>54.6</v>
      </c>
      <c r="L31" s="762">
        <v>53.3</v>
      </c>
      <c r="M31" s="762">
        <v>50.9</v>
      </c>
      <c r="N31" s="762">
        <v>44.8</v>
      </c>
      <c r="O31" s="762">
        <v>53.8</v>
      </c>
      <c r="P31" s="762">
        <v>56</v>
      </c>
      <c r="Q31" s="762">
        <v>57.9</v>
      </c>
      <c r="R31" s="762">
        <v>46.5</v>
      </c>
      <c r="S31" s="762"/>
      <c r="T31" s="762"/>
      <c r="U31" s="762"/>
      <c r="V31" s="762"/>
      <c r="W31" s="762"/>
    </row>
    <row r="32" spans="1:24" x14ac:dyDescent="0.25">
      <c r="A32" s="350"/>
      <c r="B32" s="347" t="s">
        <v>813</v>
      </c>
      <c r="C32" s="348"/>
      <c r="D32" s="349">
        <v>1.6</v>
      </c>
      <c r="E32" s="349">
        <v>1</v>
      </c>
      <c r="F32" s="349">
        <v>2.4</v>
      </c>
      <c r="G32" s="349">
        <v>1.3</v>
      </c>
      <c r="H32" s="349">
        <v>1.9</v>
      </c>
      <c r="I32" s="349">
        <v>1.6</v>
      </c>
      <c r="J32" s="516">
        <v>2.2000000000000002</v>
      </c>
      <c r="K32" s="516">
        <v>2.2999999999999998</v>
      </c>
      <c r="L32" s="516">
        <v>2</v>
      </c>
      <c r="M32" s="516">
        <v>4.4000000000000004</v>
      </c>
      <c r="N32" s="516">
        <v>1.6</v>
      </c>
      <c r="O32" s="516">
        <v>1.8</v>
      </c>
      <c r="P32" s="516">
        <v>1.2</v>
      </c>
      <c r="Q32" s="516">
        <v>0.6</v>
      </c>
      <c r="R32" s="516">
        <v>1.9</v>
      </c>
      <c r="S32" s="516"/>
      <c r="T32" s="516"/>
      <c r="U32" s="516"/>
      <c r="V32" s="516"/>
      <c r="W32" s="516"/>
    </row>
    <row r="33" spans="1:23" x14ac:dyDescent="0.25">
      <c r="A33" s="350"/>
      <c r="B33" s="347" t="s">
        <v>814</v>
      </c>
      <c r="C33" s="348"/>
      <c r="D33" s="349">
        <v>8.3000000000000007</v>
      </c>
      <c r="E33" s="349">
        <v>8.5</v>
      </c>
      <c r="F33" s="349">
        <v>15.2</v>
      </c>
      <c r="G33" s="349">
        <v>7.6</v>
      </c>
      <c r="H33" s="349">
        <v>11.5</v>
      </c>
      <c r="I33" s="349">
        <v>9.9</v>
      </c>
      <c r="J33" s="516">
        <v>6.5</v>
      </c>
      <c r="K33" s="516">
        <v>13.2</v>
      </c>
      <c r="L33" s="516">
        <v>10.5</v>
      </c>
      <c r="M33" s="516">
        <v>11.8</v>
      </c>
      <c r="N33" s="516">
        <v>9.3000000000000007</v>
      </c>
      <c r="O33" s="516">
        <v>17.5</v>
      </c>
      <c r="P33" s="516">
        <v>13.1</v>
      </c>
      <c r="Q33" s="516">
        <v>8.1999999999999993</v>
      </c>
      <c r="R33" s="516">
        <v>15.1</v>
      </c>
      <c r="S33" s="516"/>
      <c r="T33" s="516"/>
      <c r="U33" s="516"/>
      <c r="V33" s="516"/>
      <c r="W33" s="516"/>
    </row>
    <row r="34" spans="1:23" x14ac:dyDescent="0.25">
      <c r="A34" s="351"/>
      <c r="B34" s="352" t="s">
        <v>815</v>
      </c>
      <c r="C34" s="353"/>
      <c r="D34" s="354">
        <v>34.4</v>
      </c>
      <c r="E34" s="354">
        <v>31.7</v>
      </c>
      <c r="F34" s="354">
        <v>31.7</v>
      </c>
      <c r="G34" s="354">
        <v>40.5</v>
      </c>
      <c r="H34" s="354">
        <v>34.6</v>
      </c>
      <c r="I34" s="354">
        <v>27.5</v>
      </c>
      <c r="J34" s="517">
        <v>44.2</v>
      </c>
      <c r="K34" s="517">
        <v>29.9</v>
      </c>
      <c r="L34" s="517">
        <f>100-L33-L32-L31</f>
        <v>34.200000000000003</v>
      </c>
      <c r="M34" s="517">
        <v>32.9</v>
      </c>
      <c r="N34" s="517">
        <f>100-N31-N32-N33</f>
        <v>44.3</v>
      </c>
      <c r="O34" s="517">
        <v>26.9</v>
      </c>
      <c r="P34" s="517">
        <v>29.7</v>
      </c>
      <c r="Q34" s="1346">
        <v>33.299999999999997</v>
      </c>
      <c r="R34" s="517">
        <v>36.5</v>
      </c>
      <c r="S34" s="517"/>
      <c r="T34" s="517"/>
      <c r="U34" s="517"/>
      <c r="V34" s="517"/>
      <c r="W34" s="517"/>
    </row>
    <row r="35" spans="1:23" x14ac:dyDescent="0.25">
      <c r="A35" s="360" t="s">
        <v>839</v>
      </c>
      <c r="D35" s="361"/>
      <c r="E35" s="361"/>
      <c r="G35" s="361"/>
      <c r="H35" s="361"/>
      <c r="Q35" s="361"/>
    </row>
    <row r="36" spans="1:23" x14ac:dyDescent="0.25">
      <c r="F36" s="361"/>
    </row>
  </sheetData>
  <mergeCells count="4">
    <mergeCell ref="A4:C4"/>
    <mergeCell ref="A1:V1"/>
    <mergeCell ref="A2:V2"/>
    <mergeCell ref="D3:V3"/>
  </mergeCells>
  <phoneticPr fontId="0" type="noConversion"/>
  <printOptions horizontalCentered="1" verticalCentered="1"/>
  <pageMargins left="0.25" right="0.25" top="1" bottom="1" header="0.5" footer="0.5"/>
  <pageSetup scale="73" orientation="landscape" r:id="rId1"/>
  <headerFooter alignWithMargins="0">
    <oddFooter>&amp;RSource: Office of Institutional Research</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5">
    <pageSetUpPr fitToPage="1"/>
  </sheetPr>
  <dimension ref="A1:V22"/>
  <sheetViews>
    <sheetView workbookViewId="0"/>
  </sheetViews>
  <sheetFormatPr defaultColWidth="6.6640625" defaultRowHeight="13.2" x14ac:dyDescent="0.25"/>
  <cols>
    <col min="1" max="1" width="1.109375" style="61" customWidth="1"/>
    <col min="2" max="2" width="28.5546875" style="61" customWidth="1"/>
    <col min="3" max="3" width="8.109375" style="61" customWidth="1"/>
    <col min="4" max="4" width="10.44140625" style="62" customWidth="1"/>
    <col min="5" max="5" width="8.109375" style="61" customWidth="1"/>
    <col min="6" max="6" width="10.44140625" style="62" customWidth="1"/>
    <col min="7" max="7" width="8.109375" style="61" customWidth="1"/>
    <col min="8" max="8" width="10.44140625" style="62" customWidth="1"/>
    <col min="9" max="9" width="8.109375" style="61" customWidth="1"/>
    <col min="10" max="10" width="10.44140625" style="62" customWidth="1"/>
    <col min="11" max="11" width="8.109375" style="61" customWidth="1"/>
    <col min="12" max="12" width="10.44140625" style="62" customWidth="1"/>
    <col min="13" max="13" width="8.109375" style="61" customWidth="1"/>
    <col min="14" max="14" width="10.44140625" style="62" customWidth="1"/>
    <col min="15" max="15" width="8.5546875" style="61" customWidth="1"/>
    <col min="16" max="16" width="11" style="61" customWidth="1"/>
    <col min="17" max="17" width="7" style="61" customWidth="1"/>
    <col min="18" max="18" width="7.88671875" style="61" customWidth="1"/>
    <col min="19" max="16384" width="6.6640625" style="61"/>
  </cols>
  <sheetData>
    <row r="1" spans="1:22" s="63" customFormat="1" ht="17.399999999999999" x14ac:dyDescent="0.3">
      <c r="B1" s="1700" t="s">
        <v>786</v>
      </c>
      <c r="C1" s="1700"/>
      <c r="D1" s="1700"/>
      <c r="E1" s="1700"/>
      <c r="F1" s="1700"/>
      <c r="G1" s="1700"/>
      <c r="H1" s="1700"/>
      <c r="I1" s="1700"/>
      <c r="J1" s="1700"/>
      <c r="K1" s="1700"/>
      <c r="L1" s="1700"/>
      <c r="M1" s="1700"/>
      <c r="N1" s="1700"/>
      <c r="O1" s="1700"/>
      <c r="P1" s="1700"/>
      <c r="Q1" s="1700"/>
    </row>
    <row r="2" spans="1:22" s="63" customFormat="1" ht="12.75" customHeight="1" thickBot="1" x14ac:dyDescent="0.35">
      <c r="A2" s="64"/>
      <c r="B2" s="479"/>
      <c r="C2" s="64"/>
      <c r="D2" s="65"/>
      <c r="F2" s="65"/>
      <c r="H2" s="65"/>
      <c r="J2" s="65"/>
      <c r="L2" s="65"/>
      <c r="N2" s="65"/>
    </row>
    <row r="3" spans="1:22" ht="30" customHeight="1" x14ac:dyDescent="0.25">
      <c r="B3" s="483" t="s">
        <v>787</v>
      </c>
      <c r="C3" s="482" t="s">
        <v>788</v>
      </c>
      <c r="D3" s="66"/>
      <c r="E3" s="67" t="s">
        <v>789</v>
      </c>
      <c r="F3" s="66"/>
      <c r="G3" s="68" t="s">
        <v>790</v>
      </c>
      <c r="H3" s="69"/>
      <c r="I3" s="67" t="s">
        <v>791</v>
      </c>
      <c r="J3" s="66"/>
      <c r="K3" s="67" t="s">
        <v>792</v>
      </c>
      <c r="L3" s="66"/>
      <c r="M3" s="67" t="s">
        <v>793</v>
      </c>
      <c r="N3" s="66"/>
      <c r="O3" s="949" t="s">
        <v>702</v>
      </c>
      <c r="P3" s="486"/>
      <c r="Q3" s="70" t="s">
        <v>776</v>
      </c>
    </row>
    <row r="4" spans="1:22" ht="24.9" customHeight="1" x14ac:dyDescent="0.25">
      <c r="B4" s="484" t="s">
        <v>794</v>
      </c>
      <c r="C4" s="72" t="s">
        <v>795</v>
      </c>
      <c r="D4" s="71" t="s">
        <v>796</v>
      </c>
      <c r="E4" s="72" t="s">
        <v>795</v>
      </c>
      <c r="F4" s="71" t="s">
        <v>796</v>
      </c>
      <c r="G4" s="72" t="s">
        <v>795</v>
      </c>
      <c r="H4" s="71" t="s">
        <v>796</v>
      </c>
      <c r="I4" s="72" t="s">
        <v>795</v>
      </c>
      <c r="J4" s="71" t="s">
        <v>796</v>
      </c>
      <c r="K4" s="72" t="s">
        <v>795</v>
      </c>
      <c r="L4" s="71" t="s">
        <v>796</v>
      </c>
      <c r="M4" s="72" t="s">
        <v>795</v>
      </c>
      <c r="N4" s="942" t="s">
        <v>796</v>
      </c>
      <c r="O4" s="948" t="s">
        <v>795</v>
      </c>
      <c r="P4" s="942" t="s">
        <v>796</v>
      </c>
      <c r="Q4" s="1202" t="s">
        <v>780</v>
      </c>
    </row>
    <row r="5" spans="1:22" ht="14.25" customHeight="1" x14ac:dyDescent="0.25">
      <c r="B5" s="939" t="s">
        <v>765</v>
      </c>
      <c r="C5" s="455"/>
      <c r="D5" s="653"/>
      <c r="E5" s="652"/>
      <c r="F5" s="653"/>
      <c r="G5" s="652"/>
      <c r="H5" s="653"/>
      <c r="I5" s="652"/>
      <c r="J5" s="653"/>
      <c r="K5" s="652"/>
      <c r="L5" s="653"/>
      <c r="M5" s="652"/>
      <c r="N5" s="654"/>
      <c r="O5" s="652"/>
      <c r="P5" s="943"/>
      <c r="Q5" s="1201"/>
    </row>
    <row r="6" spans="1:22" ht="14.25" customHeight="1" x14ac:dyDescent="0.25">
      <c r="B6" s="941">
        <v>2008</v>
      </c>
      <c r="C6" s="937">
        <v>744</v>
      </c>
      <c r="D6" s="659">
        <f>C6/Q6</f>
        <v>0.35193945127719961</v>
      </c>
      <c r="E6" s="658">
        <v>1142</v>
      </c>
      <c r="F6" s="659">
        <f>E6/Q6</f>
        <v>0.54020813623462627</v>
      </c>
      <c r="G6" s="658">
        <v>35</v>
      </c>
      <c r="H6" s="659">
        <f>G6/Q6</f>
        <v>1.6556291390728478E-2</v>
      </c>
      <c r="I6" s="658">
        <v>23</v>
      </c>
      <c r="J6" s="659">
        <f>I6/Q6</f>
        <v>1.0879848628192999E-2</v>
      </c>
      <c r="K6" s="658">
        <v>12</v>
      </c>
      <c r="L6" s="659">
        <f>K6/Q6</f>
        <v>5.6764427625354778E-3</v>
      </c>
      <c r="M6" s="658">
        <v>30</v>
      </c>
      <c r="N6" s="656">
        <f>M6/Q6</f>
        <v>1.4191106906338695E-2</v>
      </c>
      <c r="O6" s="658">
        <v>128</v>
      </c>
      <c r="P6" s="945">
        <f>O6/Q6</f>
        <v>6.0548722800378429E-2</v>
      </c>
      <c r="Q6" s="660">
        <f>SUM(C6,E6,G6,I6,K6,O6,M6)</f>
        <v>2114</v>
      </c>
      <c r="S6" s="62"/>
      <c r="T6" s="62"/>
      <c r="U6" s="62"/>
      <c r="V6" s="62"/>
    </row>
    <row r="7" spans="1:22" ht="14.25" customHeight="1" x14ac:dyDescent="0.25">
      <c r="B7" s="941">
        <v>2009</v>
      </c>
      <c r="C7" s="937">
        <v>1129</v>
      </c>
      <c r="D7" s="659">
        <f>C7/Q7</f>
        <v>0.42539562923888469</v>
      </c>
      <c r="E7" s="658">
        <v>1349</v>
      </c>
      <c r="F7" s="659">
        <f>E7/Q7</f>
        <v>0.50828937452901279</v>
      </c>
      <c r="G7" s="658">
        <v>33</v>
      </c>
      <c r="H7" s="659">
        <f>G7/Q7</f>
        <v>1.2434061793519217E-2</v>
      </c>
      <c r="I7" s="658">
        <v>18</v>
      </c>
      <c r="J7" s="659">
        <f>I7/Q7</f>
        <v>6.782215523737754E-3</v>
      </c>
      <c r="K7" s="658">
        <v>10</v>
      </c>
      <c r="L7" s="659">
        <f>K7/Q7</f>
        <v>3.7678975131876413E-3</v>
      </c>
      <c r="M7" s="658">
        <v>16</v>
      </c>
      <c r="N7" s="656">
        <f>M7/Q7</f>
        <v>6.0286360211002261E-3</v>
      </c>
      <c r="O7" s="658">
        <v>99</v>
      </c>
      <c r="P7" s="945">
        <f>O7/Q7</f>
        <v>3.7302185380557649E-2</v>
      </c>
      <c r="Q7" s="660">
        <f>SUM(C7,E7,G7,I7,K7,O7,M7)</f>
        <v>2654</v>
      </c>
    </row>
    <row r="8" spans="1:22" x14ac:dyDescent="0.25">
      <c r="B8" s="941">
        <v>2010</v>
      </c>
      <c r="C8" s="937">
        <v>1363</v>
      </c>
      <c r="D8" s="659">
        <f>C8/Q8</f>
        <v>0.46983798690106859</v>
      </c>
      <c r="E8" s="658">
        <v>1313</v>
      </c>
      <c r="F8" s="659">
        <f>E8/Q8</f>
        <v>0.45260255084453638</v>
      </c>
      <c r="G8" s="658">
        <v>49</v>
      </c>
      <c r="H8" s="659">
        <f>G8/Q8</f>
        <v>1.6890727335401586E-2</v>
      </c>
      <c r="I8" s="658">
        <v>18</v>
      </c>
      <c r="J8" s="659">
        <f>I8/Q8</f>
        <v>6.2047569803516025E-3</v>
      </c>
      <c r="K8" s="658">
        <v>18</v>
      </c>
      <c r="L8" s="659">
        <f>K8/Q8</f>
        <v>6.2047569803516025E-3</v>
      </c>
      <c r="M8" s="658">
        <v>31</v>
      </c>
      <c r="N8" s="656">
        <f>M8/Q8</f>
        <v>1.0685970355049982E-2</v>
      </c>
      <c r="O8" s="658">
        <v>109</v>
      </c>
      <c r="P8" s="945">
        <f>O8/Q8</f>
        <v>3.7573250603240259E-2</v>
      </c>
      <c r="Q8" s="660">
        <f>SUM(C8,E8,G8,I8,K8,O8,M8)</f>
        <v>2901</v>
      </c>
    </row>
    <row r="9" spans="1:22" x14ac:dyDescent="0.25">
      <c r="B9" s="941">
        <v>2011</v>
      </c>
      <c r="C9" s="937">
        <v>1550</v>
      </c>
      <c r="D9" s="659">
        <f>C9/Q9</f>
        <v>0.48604578237692064</v>
      </c>
      <c r="E9" s="658">
        <v>1440</v>
      </c>
      <c r="F9" s="659">
        <f>E9/Q9</f>
        <v>0.45155221072436502</v>
      </c>
      <c r="G9" s="658">
        <v>45</v>
      </c>
      <c r="H9" s="659">
        <f>G9/Q9</f>
        <v>1.4111006585136407E-2</v>
      </c>
      <c r="I9" s="658">
        <v>13</v>
      </c>
      <c r="J9" s="659">
        <f>I9/Q9</f>
        <v>4.0765130134838507E-3</v>
      </c>
      <c r="K9" s="658">
        <v>19</v>
      </c>
      <c r="L9" s="659">
        <f>K9/Q9</f>
        <v>5.9579805581687047E-3</v>
      </c>
      <c r="M9" s="658">
        <v>31</v>
      </c>
      <c r="N9" s="656">
        <f>M9/Q9</f>
        <v>9.7209156475384136E-3</v>
      </c>
      <c r="O9" s="658">
        <v>91</v>
      </c>
      <c r="P9" s="945">
        <f>O9/Q9</f>
        <v>2.8535591094386956E-2</v>
      </c>
      <c r="Q9" s="660">
        <f>SUM(C9,E9,G9,I9,K9,O9,M9)</f>
        <v>3189</v>
      </c>
    </row>
    <row r="10" spans="1:22" x14ac:dyDescent="0.25">
      <c r="B10" s="941">
        <v>2012</v>
      </c>
      <c r="C10" s="937">
        <v>1477</v>
      </c>
      <c r="D10" s="659">
        <f>C10/Q10</f>
        <v>0.44102717229023591</v>
      </c>
      <c r="E10" s="658">
        <v>1370</v>
      </c>
      <c r="F10" s="659">
        <f>E10/Q10</f>
        <v>0.4090773365183637</v>
      </c>
      <c r="G10" s="658">
        <v>49</v>
      </c>
      <c r="H10" s="659">
        <f>G10/Q10</f>
        <v>1.4631233203941475E-2</v>
      </c>
      <c r="I10" s="658">
        <v>24</v>
      </c>
      <c r="J10" s="659">
        <f>I10/Q10</f>
        <v>7.1663183039713347E-3</v>
      </c>
      <c r="K10" s="658">
        <v>13</v>
      </c>
      <c r="L10" s="659">
        <f>K10/Q10</f>
        <v>3.8817557479844732E-3</v>
      </c>
      <c r="M10" s="658">
        <v>43</v>
      </c>
      <c r="N10" s="656">
        <f>M10/Q10</f>
        <v>1.2839653627948642E-2</v>
      </c>
      <c r="O10" s="658">
        <f>326+47</f>
        <v>373</v>
      </c>
      <c r="P10" s="945">
        <f>O10/Q10</f>
        <v>0.1113765303075545</v>
      </c>
      <c r="Q10" s="660">
        <f>SUM(C10,E10,G10,I10,K10,O10,M10)</f>
        <v>3349</v>
      </c>
    </row>
    <row r="11" spans="1:22" x14ac:dyDescent="0.25">
      <c r="B11" s="939" t="s">
        <v>766</v>
      </c>
      <c r="C11" s="455"/>
      <c r="D11" s="653"/>
      <c r="E11" s="652"/>
      <c r="F11" s="653"/>
      <c r="G11" s="652"/>
      <c r="H11" s="653"/>
      <c r="I11" s="652"/>
      <c r="J11" s="653"/>
      <c r="K11" s="652"/>
      <c r="L11" s="653"/>
      <c r="M11" s="652"/>
      <c r="N11" s="654"/>
      <c r="O11" s="652"/>
      <c r="P11" s="943"/>
      <c r="Q11" s="655"/>
    </row>
    <row r="12" spans="1:22" x14ac:dyDescent="0.25">
      <c r="B12" s="940">
        <f>+B6</f>
        <v>2008</v>
      </c>
      <c r="C12" s="937">
        <v>290</v>
      </c>
      <c r="D12" s="659">
        <f>C12/Q12</f>
        <v>0.30082987551867219</v>
      </c>
      <c r="E12" s="658">
        <v>589</v>
      </c>
      <c r="F12" s="659">
        <f>E12/Q12</f>
        <v>0.61099585062240669</v>
      </c>
      <c r="G12" s="658">
        <v>15</v>
      </c>
      <c r="H12" s="659">
        <f>G12/Q12</f>
        <v>1.5560165975103735E-2</v>
      </c>
      <c r="I12" s="658">
        <v>9</v>
      </c>
      <c r="J12" s="659">
        <f>I12/Q12</f>
        <v>9.3360995850622405E-3</v>
      </c>
      <c r="K12" s="658">
        <v>3</v>
      </c>
      <c r="L12" s="659">
        <f>K12/Q12</f>
        <v>3.1120331950207467E-3</v>
      </c>
      <c r="M12" s="658">
        <v>14</v>
      </c>
      <c r="N12" s="656">
        <f>M12/Q12</f>
        <v>1.4522821576763486E-2</v>
      </c>
      <c r="O12" s="658">
        <v>44</v>
      </c>
      <c r="P12" s="945">
        <f>O12/Q12</f>
        <v>4.5643153526970952E-2</v>
      </c>
      <c r="Q12" s="660">
        <f>SUM(C12,E12,G12,I12,K12,O12,M12)</f>
        <v>964</v>
      </c>
    </row>
    <row r="13" spans="1:22" x14ac:dyDescent="0.25">
      <c r="B13" s="940">
        <f>+B7</f>
        <v>2009</v>
      </c>
      <c r="C13" s="937">
        <v>413</v>
      </c>
      <c r="D13" s="659">
        <f>C13/Q13</f>
        <v>0.33146067415730335</v>
      </c>
      <c r="E13" s="658">
        <v>770</v>
      </c>
      <c r="F13" s="659">
        <f>E13/Q13</f>
        <v>0.6179775280898876</v>
      </c>
      <c r="G13" s="658">
        <v>18</v>
      </c>
      <c r="H13" s="659">
        <f>G13/Q13</f>
        <v>1.4446227929373997E-2</v>
      </c>
      <c r="I13" s="658">
        <v>8</v>
      </c>
      <c r="J13" s="659">
        <f>I13/Q13</f>
        <v>6.420545746388443E-3</v>
      </c>
      <c r="K13" s="658">
        <v>3</v>
      </c>
      <c r="L13" s="659">
        <f>K13/Q13</f>
        <v>2.407704654895666E-3</v>
      </c>
      <c r="M13" s="658">
        <v>5</v>
      </c>
      <c r="N13" s="656">
        <f>M13/Q13</f>
        <v>4.0128410914927765E-3</v>
      </c>
      <c r="O13" s="658">
        <v>29</v>
      </c>
      <c r="P13" s="945">
        <f>O13/Q13</f>
        <v>2.3274478330658106E-2</v>
      </c>
      <c r="Q13" s="660">
        <f>SUM(C13,E13,G13,I13,K13,O13,M13)</f>
        <v>1246</v>
      </c>
    </row>
    <row r="14" spans="1:22" x14ac:dyDescent="0.25">
      <c r="B14" s="940">
        <f>+B8</f>
        <v>2010</v>
      </c>
      <c r="C14" s="937">
        <v>439</v>
      </c>
      <c r="D14" s="659">
        <f>C14/Q14</f>
        <v>0.33282789992418499</v>
      </c>
      <c r="E14" s="658">
        <v>795</v>
      </c>
      <c r="F14" s="659">
        <f>E14/Q14</f>
        <v>0.60272934040940107</v>
      </c>
      <c r="G14" s="658">
        <v>28</v>
      </c>
      <c r="H14" s="659">
        <f>G14/Q14</f>
        <v>2.1228203184230479E-2</v>
      </c>
      <c r="I14" s="658">
        <v>4</v>
      </c>
      <c r="J14" s="659">
        <f>I14/Q14</f>
        <v>3.0326004548900682E-3</v>
      </c>
      <c r="K14" s="658">
        <v>6</v>
      </c>
      <c r="L14" s="659">
        <f>K14/Q14</f>
        <v>4.5489006823351023E-3</v>
      </c>
      <c r="M14" s="658">
        <v>11</v>
      </c>
      <c r="N14" s="656">
        <f>M14/Q14</f>
        <v>8.339651250947688E-3</v>
      </c>
      <c r="O14" s="658">
        <v>36</v>
      </c>
      <c r="P14" s="945">
        <f>O14/Q14</f>
        <v>2.7293404094010616E-2</v>
      </c>
      <c r="Q14" s="660">
        <f>SUM(C14,E14,G14,I14,K14,O14,M14)</f>
        <v>1319</v>
      </c>
    </row>
    <row r="15" spans="1:22" x14ac:dyDescent="0.25">
      <c r="B15" s="940">
        <f>+B9</f>
        <v>2011</v>
      </c>
      <c r="C15" s="937">
        <v>516</v>
      </c>
      <c r="D15" s="659">
        <f>C15/Q15</f>
        <v>0.3827893175074184</v>
      </c>
      <c r="E15" s="658">
        <v>751</v>
      </c>
      <c r="F15" s="659">
        <f>E15/Q15</f>
        <v>0.55712166172106825</v>
      </c>
      <c r="G15" s="658">
        <v>26</v>
      </c>
      <c r="H15" s="659">
        <f>G15/Q15</f>
        <v>1.9287833827893175E-2</v>
      </c>
      <c r="I15" s="658">
        <v>5</v>
      </c>
      <c r="J15" s="659">
        <f>I15/Q15</f>
        <v>3.70919881305638E-3</v>
      </c>
      <c r="K15" s="658">
        <v>9</v>
      </c>
      <c r="L15" s="659">
        <f>K15/Q15</f>
        <v>6.6765578635014835E-3</v>
      </c>
      <c r="M15" s="658">
        <v>13</v>
      </c>
      <c r="N15" s="656">
        <f>M15/Q15</f>
        <v>9.6439169139465875E-3</v>
      </c>
      <c r="O15" s="658">
        <v>28</v>
      </c>
      <c r="P15" s="945">
        <f>O15/Q15</f>
        <v>2.0771513353115726E-2</v>
      </c>
      <c r="Q15" s="660">
        <f>SUM(C15,E15,G15,I15,K15,O15,M15)</f>
        <v>1348</v>
      </c>
    </row>
    <row r="16" spans="1:22" x14ac:dyDescent="0.25">
      <c r="B16" s="940">
        <f>+B10</f>
        <v>2012</v>
      </c>
      <c r="C16" s="937">
        <v>481</v>
      </c>
      <c r="D16" s="659">
        <f>C16/Q16</f>
        <v>0.34065155807365438</v>
      </c>
      <c r="E16" s="658">
        <v>768</v>
      </c>
      <c r="F16" s="659">
        <f>E16/Q16</f>
        <v>0.5439093484419264</v>
      </c>
      <c r="G16" s="658">
        <v>22</v>
      </c>
      <c r="H16" s="659">
        <f>G16/Q16</f>
        <v>1.5580736543909348E-2</v>
      </c>
      <c r="I16" s="658">
        <v>9</v>
      </c>
      <c r="J16" s="659">
        <f>I16/Q16</f>
        <v>6.3739376770538241E-3</v>
      </c>
      <c r="K16" s="658">
        <v>6</v>
      </c>
      <c r="L16" s="659">
        <f>K16/Q16</f>
        <v>4.24929178470255E-3</v>
      </c>
      <c r="M16" s="658">
        <v>14</v>
      </c>
      <c r="N16" s="656">
        <f>M16/Q16</f>
        <v>9.9150141643059488E-3</v>
      </c>
      <c r="O16" s="658">
        <v>112</v>
      </c>
      <c r="P16" s="945">
        <f>O16/Q16</f>
        <v>7.9320113314447591E-2</v>
      </c>
      <c r="Q16" s="660">
        <f>SUM(C16,E16,G16,I16,K16,O16,M16)</f>
        <v>1412</v>
      </c>
    </row>
    <row r="17" spans="2:17" x14ac:dyDescent="0.25">
      <c r="B17" s="939" t="s">
        <v>768</v>
      </c>
      <c r="C17" s="455"/>
      <c r="D17" s="653"/>
      <c r="E17" s="652"/>
      <c r="F17" s="653"/>
      <c r="G17" s="652"/>
      <c r="H17" s="653"/>
      <c r="I17" s="652"/>
      <c r="J17" s="653"/>
      <c r="K17" s="652"/>
      <c r="L17" s="653"/>
      <c r="M17" s="652"/>
      <c r="N17" s="654"/>
      <c r="O17" s="652"/>
      <c r="P17" s="943"/>
      <c r="Q17" s="655"/>
    </row>
    <row r="18" spans="2:17" x14ac:dyDescent="0.25">
      <c r="B18" s="485">
        <f>+B6</f>
        <v>2008</v>
      </c>
      <c r="C18" s="78">
        <f>32+132</f>
        <v>164</v>
      </c>
      <c r="D18" s="338">
        <f>C18/Q18</f>
        <v>0.29549549549549547</v>
      </c>
      <c r="E18" s="76">
        <v>345</v>
      </c>
      <c r="F18" s="338">
        <f>E18/Q18</f>
        <v>0.6216216216216216</v>
      </c>
      <c r="G18" s="76">
        <v>8</v>
      </c>
      <c r="H18" s="338">
        <f>G18/Q18</f>
        <v>1.4414414414414415E-2</v>
      </c>
      <c r="I18" s="76">
        <v>5</v>
      </c>
      <c r="J18" s="338">
        <f>I18/Q18</f>
        <v>9.0090090090090089E-3</v>
      </c>
      <c r="K18" s="76">
        <v>2</v>
      </c>
      <c r="L18" s="338">
        <f>K18/Q18</f>
        <v>3.6036036036036037E-3</v>
      </c>
      <c r="M18" s="76">
        <v>12</v>
      </c>
      <c r="N18" s="656">
        <f>M18/Q18</f>
        <v>2.1621621621621623E-2</v>
      </c>
      <c r="O18" s="76">
        <v>19</v>
      </c>
      <c r="P18" s="944">
        <f>O18/Q18</f>
        <v>3.4234234234234232E-2</v>
      </c>
      <c r="Q18" s="657">
        <f>SUM(C18,E18,G18,I18,K18,O18,M18)</f>
        <v>555</v>
      </c>
    </row>
    <row r="19" spans="2:17" x14ac:dyDescent="0.25">
      <c r="B19" s="485">
        <f>+B7</f>
        <v>2009</v>
      </c>
      <c r="C19" s="75">
        <f>43+135</f>
        <v>178</v>
      </c>
      <c r="D19" s="813">
        <f>C19/Q19</f>
        <v>0.30584192439862545</v>
      </c>
      <c r="E19" s="812">
        <f>121+263</f>
        <v>384</v>
      </c>
      <c r="F19" s="813">
        <f>E19/Q19</f>
        <v>0.65979381443298968</v>
      </c>
      <c r="G19" s="812">
        <v>3</v>
      </c>
      <c r="H19" s="813">
        <f>G19/Q19</f>
        <v>5.1546391752577319E-3</v>
      </c>
      <c r="I19" s="812">
        <v>3</v>
      </c>
      <c r="J19" s="813">
        <f>I19/Q19</f>
        <v>5.1546391752577319E-3</v>
      </c>
      <c r="K19" s="812">
        <v>2</v>
      </c>
      <c r="L19" s="813">
        <f>K19/Q19</f>
        <v>3.4364261168384879E-3</v>
      </c>
      <c r="M19" s="812">
        <v>4</v>
      </c>
      <c r="N19" s="656">
        <f>M19/Q19</f>
        <v>6.8728522336769758E-3</v>
      </c>
      <c r="O19" s="76">
        <v>8</v>
      </c>
      <c r="P19" s="946">
        <f>O19/Q19</f>
        <v>1.3745704467353952E-2</v>
      </c>
      <c r="Q19" s="814">
        <f>SUM(C19,E19,G19,I19,K19,O19,M19)</f>
        <v>582</v>
      </c>
    </row>
    <row r="20" spans="2:17" x14ac:dyDescent="0.25">
      <c r="B20" s="485">
        <f>+B8</f>
        <v>2010</v>
      </c>
      <c r="C20" s="78">
        <f>46+152</f>
        <v>198</v>
      </c>
      <c r="D20" s="338">
        <f>C20/Q20</f>
        <v>0.28862973760932947</v>
      </c>
      <c r="E20" s="76">
        <f>146+302</f>
        <v>448</v>
      </c>
      <c r="F20" s="338">
        <f>E20/Q20</f>
        <v>0.65306122448979587</v>
      </c>
      <c r="G20" s="76">
        <v>10</v>
      </c>
      <c r="H20" s="338">
        <f>G20/Q20</f>
        <v>1.4577259475218658E-2</v>
      </c>
      <c r="I20" s="76">
        <v>1</v>
      </c>
      <c r="J20" s="338">
        <f>I20/Q20</f>
        <v>1.4577259475218659E-3</v>
      </c>
      <c r="K20" s="76">
        <v>1</v>
      </c>
      <c r="L20" s="338">
        <f>K20/Q20</f>
        <v>1.4577259475218659E-3</v>
      </c>
      <c r="M20" s="76">
        <v>11</v>
      </c>
      <c r="N20" s="656">
        <f>M20/Q20</f>
        <v>1.6034985422740525E-2</v>
      </c>
      <c r="O20" s="76">
        <v>17</v>
      </c>
      <c r="P20" s="341">
        <f>O20/Q20</f>
        <v>2.478134110787172E-2</v>
      </c>
      <c r="Q20" s="79">
        <f>SUM(C20,E20,G20,I20,K20,O20,M20)</f>
        <v>686</v>
      </c>
    </row>
    <row r="21" spans="2:17" x14ac:dyDescent="0.25">
      <c r="B21" s="485">
        <f>+B9</f>
        <v>2011</v>
      </c>
      <c r="C21" s="78">
        <v>216</v>
      </c>
      <c r="D21" s="338">
        <f>C21/Q21</f>
        <v>0.3630252100840336</v>
      </c>
      <c r="E21" s="76">
        <v>341</v>
      </c>
      <c r="F21" s="338">
        <f>E21/Q21</f>
        <v>0.57310924369747895</v>
      </c>
      <c r="G21" s="76">
        <v>12</v>
      </c>
      <c r="H21" s="338">
        <f>G21/Q21</f>
        <v>2.0168067226890758E-2</v>
      </c>
      <c r="I21" s="76">
        <v>1</v>
      </c>
      <c r="J21" s="338">
        <f>I21/Q21</f>
        <v>1.6806722689075631E-3</v>
      </c>
      <c r="K21" s="76">
        <v>2</v>
      </c>
      <c r="L21" s="338">
        <f>K21/Q21</f>
        <v>3.3613445378151263E-3</v>
      </c>
      <c r="M21" s="76">
        <v>9</v>
      </c>
      <c r="N21" s="338">
        <f>M21/Q21</f>
        <v>1.5126050420168067E-2</v>
      </c>
      <c r="O21" s="76">
        <v>14</v>
      </c>
      <c r="P21" s="944">
        <f>O21/Q21</f>
        <v>2.3529411764705882E-2</v>
      </c>
      <c r="Q21" s="657">
        <f>SUM(C21,E21,G21,I21,K21,O21,M21)</f>
        <v>595</v>
      </c>
    </row>
    <row r="22" spans="2:17" ht="13.8" thickBot="1" x14ac:dyDescent="0.3">
      <c r="B22" s="1423">
        <f>+B10</f>
        <v>2012</v>
      </c>
      <c r="C22" s="938">
        <v>183</v>
      </c>
      <c r="D22" s="816">
        <f>C22/Q22</f>
        <v>0.32161687170474518</v>
      </c>
      <c r="E22" s="815">
        <v>344</v>
      </c>
      <c r="F22" s="816">
        <f>E22/Q22</f>
        <v>0.60456942003514935</v>
      </c>
      <c r="G22" s="815">
        <v>8</v>
      </c>
      <c r="H22" s="816">
        <f>G22/Q22</f>
        <v>1.4059753954305799E-2</v>
      </c>
      <c r="I22" s="815">
        <v>2</v>
      </c>
      <c r="J22" s="816">
        <f>I22/Q22</f>
        <v>3.5149384885764497E-3</v>
      </c>
      <c r="K22" s="815">
        <v>2</v>
      </c>
      <c r="L22" s="816">
        <f>K22/Q22</f>
        <v>3.5149384885764497E-3</v>
      </c>
      <c r="M22" s="815">
        <v>9</v>
      </c>
      <c r="N22" s="816">
        <f>M22/Q22</f>
        <v>1.5817223198594025E-2</v>
      </c>
      <c r="O22" s="815">
        <v>21</v>
      </c>
      <c r="P22" s="947">
        <f>O22/Q22</f>
        <v>3.6906854130052721E-2</v>
      </c>
      <c r="Q22" s="817">
        <f>SUM(C22,E22,G22,I22,K22,O22,M22)</f>
        <v>569</v>
      </c>
    </row>
  </sheetData>
  <mergeCells count="1">
    <mergeCell ref="B1:Q1"/>
  </mergeCells>
  <phoneticPr fontId="15" type="noConversion"/>
  <printOptions horizontalCentered="1" verticalCentered="1"/>
  <pageMargins left="0.5" right="0.5" top="0.25" bottom="0.25" header="0.5" footer="0.5"/>
  <pageSetup scale="77" orientation="landscape" r:id="rId1"/>
  <headerFooter alignWithMargins="0">
    <oddHeader xml:space="preserve">&amp;C </oddHeader>
    <oddFooter>&amp;L &amp;C &amp;RSource: Office of Admissions</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9"/>
  <dimension ref="A1:R42"/>
  <sheetViews>
    <sheetView workbookViewId="0">
      <selection sqref="A1:K1"/>
    </sheetView>
  </sheetViews>
  <sheetFormatPr defaultColWidth="6.6640625" defaultRowHeight="13.2" x14ac:dyDescent="0.25"/>
  <cols>
    <col min="1" max="1" width="6.6640625" style="1" customWidth="1"/>
    <col min="2" max="2" width="13.44140625" style="1" customWidth="1"/>
    <col min="3" max="3" width="8.109375" style="1" customWidth="1"/>
    <col min="4" max="4" width="6.88671875" style="1" customWidth="1"/>
    <col min="5" max="6" width="8.109375" style="1" customWidth="1"/>
    <col min="7" max="7" width="6.88671875" style="1" customWidth="1"/>
    <col min="8" max="9" width="8.109375" style="1" customWidth="1"/>
    <col min="10" max="10" width="6.88671875" style="1" customWidth="1"/>
    <col min="11" max="11" width="8.6640625" style="1" customWidth="1"/>
    <col min="12" max="12" width="6.6640625" style="1" customWidth="1"/>
    <col min="13" max="16" width="9.109375" style="1" customWidth="1"/>
    <col min="17" max="16384" width="6.6640625" style="1"/>
  </cols>
  <sheetData>
    <row r="1" spans="1:18" ht="17.399999999999999" x14ac:dyDescent="0.3">
      <c r="A1" s="1701" t="s">
        <v>797</v>
      </c>
      <c r="B1" s="1701"/>
      <c r="C1" s="1701"/>
      <c r="D1" s="1701"/>
      <c r="E1" s="1701"/>
      <c r="F1" s="1701"/>
      <c r="G1" s="1701"/>
      <c r="H1" s="1701"/>
      <c r="I1" s="1701"/>
      <c r="J1" s="1701"/>
      <c r="K1" s="1701"/>
      <c r="M1" s="8"/>
      <c r="N1" s="8"/>
      <c r="O1" s="8"/>
      <c r="P1" s="8"/>
    </row>
    <row r="2" spans="1:18" x14ac:dyDescent="0.25">
      <c r="M2" s="8"/>
      <c r="N2" s="8"/>
      <c r="O2" s="8"/>
      <c r="P2" s="8"/>
    </row>
    <row r="3" spans="1:18" ht="15" customHeight="1" x14ac:dyDescent="0.25">
      <c r="A3" s="80"/>
      <c r="B3" s="81" t="s">
        <v>778</v>
      </c>
      <c r="C3" s="82" t="s">
        <v>798</v>
      </c>
      <c r="D3" s="83"/>
      <c r="E3" s="84"/>
      <c r="F3" s="83" t="s">
        <v>799</v>
      </c>
      <c r="G3" s="83"/>
      <c r="H3" s="84"/>
      <c r="I3" s="83" t="s">
        <v>800</v>
      </c>
      <c r="J3" s="83"/>
      <c r="K3" s="84"/>
      <c r="M3" s="8"/>
      <c r="N3" s="8"/>
      <c r="O3" s="8"/>
      <c r="P3" s="82" t="s">
        <v>800</v>
      </c>
      <c r="Q3" s="83"/>
      <c r="R3" s="84"/>
    </row>
    <row r="4" spans="1:18" ht="26.4" x14ac:dyDescent="0.25">
      <c r="A4" s="85" t="s">
        <v>770</v>
      </c>
      <c r="B4" s="86" t="s">
        <v>801</v>
      </c>
      <c r="C4" s="87" t="s">
        <v>802</v>
      </c>
      <c r="D4" s="87" t="s">
        <v>803</v>
      </c>
      <c r="E4" s="88" t="s">
        <v>804</v>
      </c>
      <c r="F4" s="87" t="s">
        <v>802</v>
      </c>
      <c r="G4" s="87" t="s">
        <v>803</v>
      </c>
      <c r="H4" s="88" t="s">
        <v>804</v>
      </c>
      <c r="I4" s="87" t="s">
        <v>802</v>
      </c>
      <c r="J4" s="87" t="s">
        <v>803</v>
      </c>
      <c r="K4" s="88" t="s">
        <v>805</v>
      </c>
      <c r="M4" s="8"/>
      <c r="N4" s="8"/>
      <c r="O4" s="89"/>
      <c r="P4" s="90" t="s">
        <v>802</v>
      </c>
      <c r="Q4" s="87" t="s">
        <v>803</v>
      </c>
      <c r="R4" s="88" t="s">
        <v>805</v>
      </c>
    </row>
    <row r="5" spans="1:18" x14ac:dyDescent="0.25">
      <c r="A5" s="410"/>
      <c r="B5" s="439" t="s">
        <v>776</v>
      </c>
      <c r="C5" s="381"/>
      <c r="D5" s="381" t="s">
        <v>776</v>
      </c>
      <c r="E5" s="382" t="s">
        <v>776</v>
      </c>
      <c r="F5" s="381"/>
      <c r="G5" s="381"/>
      <c r="H5" s="382"/>
      <c r="I5" s="381"/>
      <c r="J5" s="381"/>
      <c r="K5" s="382"/>
      <c r="M5" s="8"/>
      <c r="N5" s="8"/>
      <c r="O5" s="91"/>
      <c r="P5" s="92"/>
      <c r="Q5" s="92"/>
      <c r="R5" s="93"/>
    </row>
    <row r="6" spans="1:18" x14ac:dyDescent="0.25">
      <c r="A6" s="22">
        <v>1991</v>
      </c>
      <c r="B6" s="94">
        <v>443</v>
      </c>
      <c r="C6" s="21">
        <v>410</v>
      </c>
      <c r="D6" s="21">
        <v>395</v>
      </c>
      <c r="E6" s="95">
        <v>422</v>
      </c>
      <c r="F6" s="21">
        <v>453</v>
      </c>
      <c r="G6" s="21">
        <v>437</v>
      </c>
      <c r="H6" s="95">
        <v>474</v>
      </c>
      <c r="I6" s="21">
        <f>C6+F6</f>
        <v>863</v>
      </c>
      <c r="J6" s="21">
        <v>832</v>
      </c>
      <c r="K6" s="95">
        <v>896</v>
      </c>
      <c r="M6" s="8"/>
      <c r="N6" s="8"/>
      <c r="O6" s="96">
        <v>1991</v>
      </c>
      <c r="P6" s="97">
        <v>863</v>
      </c>
      <c r="Q6" s="97">
        <v>832</v>
      </c>
      <c r="R6" s="98">
        <v>896</v>
      </c>
    </row>
    <row r="7" spans="1:18" x14ac:dyDescent="0.25">
      <c r="A7" s="410"/>
      <c r="B7" s="439" t="s">
        <v>776</v>
      </c>
      <c r="C7" s="381"/>
      <c r="D7" s="381" t="s">
        <v>776</v>
      </c>
      <c r="E7" s="382" t="s">
        <v>776</v>
      </c>
      <c r="F7" s="381"/>
      <c r="G7" s="381"/>
      <c r="H7" s="382"/>
      <c r="I7" s="381"/>
      <c r="J7" s="381"/>
      <c r="K7" s="382"/>
      <c r="M7" s="8"/>
      <c r="N7" s="8"/>
      <c r="O7" s="91"/>
      <c r="P7" s="99"/>
      <c r="Q7" s="99"/>
      <c r="R7" s="100"/>
    </row>
    <row r="8" spans="1:18" x14ac:dyDescent="0.25">
      <c r="A8" s="22">
        <f>A6+1</f>
        <v>1992</v>
      </c>
      <c r="B8" s="94">
        <v>416</v>
      </c>
      <c r="C8" s="21">
        <v>408</v>
      </c>
      <c r="D8" s="21">
        <v>384</v>
      </c>
      <c r="E8" s="95">
        <v>423</v>
      </c>
      <c r="F8" s="21">
        <v>450</v>
      </c>
      <c r="G8" s="21">
        <v>437</v>
      </c>
      <c r="H8" s="95">
        <v>476</v>
      </c>
      <c r="I8" s="21">
        <f>C8+F8</f>
        <v>858</v>
      </c>
      <c r="J8" s="21">
        <v>831</v>
      </c>
      <c r="K8" s="95">
        <v>899</v>
      </c>
      <c r="M8" s="8"/>
      <c r="N8" s="8"/>
      <c r="O8" s="96">
        <f>O6+1</f>
        <v>1992</v>
      </c>
      <c r="P8" s="97">
        <v>858</v>
      </c>
      <c r="Q8" s="97">
        <v>831</v>
      </c>
      <c r="R8" s="98">
        <v>899</v>
      </c>
    </row>
    <row r="9" spans="1:18" x14ac:dyDescent="0.25">
      <c r="A9" s="410"/>
      <c r="B9" s="439" t="s">
        <v>776</v>
      </c>
      <c r="C9" s="381"/>
      <c r="D9" s="381" t="s">
        <v>776</v>
      </c>
      <c r="E9" s="382" t="s">
        <v>776</v>
      </c>
      <c r="F9" s="381"/>
      <c r="G9" s="381"/>
      <c r="H9" s="382"/>
      <c r="I9" s="381"/>
      <c r="J9" s="381"/>
      <c r="K9" s="382"/>
      <c r="M9" s="8"/>
      <c r="N9" s="8"/>
      <c r="O9" s="91"/>
      <c r="P9" s="99"/>
      <c r="Q9" s="99"/>
      <c r="R9" s="100"/>
    </row>
    <row r="10" spans="1:18" x14ac:dyDescent="0.25">
      <c r="A10" s="22">
        <f>A8+1</f>
        <v>1993</v>
      </c>
      <c r="B10" s="94">
        <v>507</v>
      </c>
      <c r="C10" s="21">
        <v>406</v>
      </c>
      <c r="D10" s="21">
        <v>396</v>
      </c>
      <c r="E10" s="95">
        <v>424</v>
      </c>
      <c r="F10" s="21">
        <v>455</v>
      </c>
      <c r="G10" s="21">
        <v>442</v>
      </c>
      <c r="H10" s="95">
        <v>478</v>
      </c>
      <c r="I10" s="21">
        <f>C10+F10</f>
        <v>861</v>
      </c>
      <c r="J10" s="21">
        <v>838</v>
      </c>
      <c r="K10" s="95">
        <v>902</v>
      </c>
      <c r="M10" s="8"/>
      <c r="N10" s="8"/>
      <c r="O10" s="96">
        <f>O8+1</f>
        <v>1993</v>
      </c>
      <c r="P10" s="97">
        <v>861</v>
      </c>
      <c r="Q10" s="97">
        <v>838</v>
      </c>
      <c r="R10" s="98">
        <v>902</v>
      </c>
    </row>
    <row r="11" spans="1:18" x14ac:dyDescent="0.25">
      <c r="A11" s="410"/>
      <c r="B11" s="439" t="s">
        <v>776</v>
      </c>
      <c r="C11" s="381"/>
      <c r="D11" s="381" t="s">
        <v>776</v>
      </c>
      <c r="E11" s="382" t="s">
        <v>776</v>
      </c>
      <c r="F11" s="381"/>
      <c r="G11" s="381"/>
      <c r="H11" s="382"/>
      <c r="I11" s="381"/>
      <c r="J11" s="381"/>
      <c r="K11" s="382"/>
      <c r="M11" s="8"/>
      <c r="N11" s="8"/>
      <c r="O11" s="91"/>
      <c r="P11" s="99"/>
      <c r="Q11" s="99"/>
      <c r="R11" s="100"/>
    </row>
    <row r="12" spans="1:18" x14ac:dyDescent="0.25">
      <c r="A12" s="22">
        <f>A10+1</f>
        <v>1994</v>
      </c>
      <c r="B12" s="94">
        <v>494</v>
      </c>
      <c r="C12" s="21">
        <v>420</v>
      </c>
      <c r="D12" s="21">
        <v>395</v>
      </c>
      <c r="E12" s="95">
        <v>423</v>
      </c>
      <c r="F12" s="21">
        <v>467</v>
      </c>
      <c r="G12" s="21">
        <v>443</v>
      </c>
      <c r="H12" s="95">
        <v>479</v>
      </c>
      <c r="I12" s="21">
        <f>C12+F12</f>
        <v>887</v>
      </c>
      <c r="J12" s="21">
        <f>D12+G12</f>
        <v>838</v>
      </c>
      <c r="K12" s="95">
        <f>E12+H12</f>
        <v>902</v>
      </c>
      <c r="M12" s="8"/>
      <c r="N12" s="8"/>
      <c r="O12" s="96">
        <f>O10+1</f>
        <v>1994</v>
      </c>
      <c r="P12" s="97">
        <v>887</v>
      </c>
      <c r="Q12" s="97">
        <v>838</v>
      </c>
      <c r="R12" s="98">
        <v>902</v>
      </c>
    </row>
    <row r="13" spans="1:18" x14ac:dyDescent="0.25">
      <c r="A13" s="410"/>
      <c r="B13" s="439" t="s">
        <v>776</v>
      </c>
      <c r="C13" s="381"/>
      <c r="D13" s="381" t="s">
        <v>776</v>
      </c>
      <c r="E13" s="382" t="s">
        <v>776</v>
      </c>
      <c r="F13" s="381"/>
      <c r="G13" s="381"/>
      <c r="H13" s="382"/>
      <c r="I13" s="381"/>
      <c r="J13" s="381"/>
      <c r="K13" s="382"/>
      <c r="M13" s="8"/>
      <c r="N13" s="8"/>
      <c r="O13" s="91"/>
      <c r="P13" s="99"/>
      <c r="Q13" s="99"/>
      <c r="R13" s="100"/>
    </row>
    <row r="14" spans="1:18" x14ac:dyDescent="0.25">
      <c r="A14" s="22">
        <f>A12+1</f>
        <v>1995</v>
      </c>
      <c r="B14" s="94">
        <v>494</v>
      </c>
      <c r="C14" s="21">
        <v>442</v>
      </c>
      <c r="D14" s="21">
        <v>401</v>
      </c>
      <c r="E14" s="95">
        <v>428</v>
      </c>
      <c r="F14" s="21">
        <v>480</v>
      </c>
      <c r="G14" s="21">
        <v>443</v>
      </c>
      <c r="H14" s="95">
        <v>482</v>
      </c>
      <c r="I14" s="21">
        <v>922</v>
      </c>
      <c r="J14" s="21">
        <v>844</v>
      </c>
      <c r="K14" s="95">
        <v>910</v>
      </c>
      <c r="M14" s="8"/>
      <c r="N14" s="8"/>
      <c r="O14" s="96">
        <v>1995</v>
      </c>
      <c r="P14" s="97">
        <v>922</v>
      </c>
      <c r="Q14" s="97">
        <v>844</v>
      </c>
      <c r="R14" s="98">
        <v>910</v>
      </c>
    </row>
    <row r="15" spans="1:18" x14ac:dyDescent="0.25">
      <c r="M15" s="8"/>
      <c r="N15" s="8"/>
      <c r="O15" s="8"/>
      <c r="P15" s="101"/>
      <c r="Q15" s="4"/>
      <c r="R15" s="4"/>
    </row>
    <row r="16" spans="1:18" x14ac:dyDescent="0.25">
      <c r="M16" s="8"/>
      <c r="N16" s="8"/>
      <c r="O16" s="8"/>
      <c r="P16" s="8"/>
    </row>
    <row r="17" spans="13:16" x14ac:dyDescent="0.25">
      <c r="M17" s="8"/>
      <c r="N17" s="8"/>
      <c r="O17" s="8"/>
      <c r="P17" s="8"/>
    </row>
    <row r="18" spans="13:16" x14ac:dyDescent="0.25">
      <c r="M18" s="8"/>
      <c r="N18" s="8"/>
      <c r="O18" s="8"/>
      <c r="P18" s="8"/>
    </row>
    <row r="19" spans="13:16" x14ac:dyDescent="0.25">
      <c r="M19" s="8"/>
      <c r="N19" s="8"/>
      <c r="O19" s="8"/>
      <c r="P19" s="8"/>
    </row>
    <row r="20" spans="13:16" x14ac:dyDescent="0.25">
      <c r="M20" s="8"/>
      <c r="N20" s="8"/>
      <c r="O20" s="8"/>
      <c r="P20" s="8"/>
    </row>
    <row r="21" spans="13:16" x14ac:dyDescent="0.25">
      <c r="M21" s="8"/>
      <c r="N21" s="8"/>
      <c r="O21" s="8"/>
      <c r="P21" s="8"/>
    </row>
    <row r="22" spans="13:16" x14ac:dyDescent="0.25">
      <c r="M22" s="8"/>
      <c r="N22" s="8"/>
      <c r="O22" s="8"/>
      <c r="P22" s="8"/>
    </row>
    <row r="23" spans="13:16" x14ac:dyDescent="0.25">
      <c r="M23" s="8"/>
      <c r="N23" s="8"/>
      <c r="O23" s="8"/>
      <c r="P23" s="8"/>
    </row>
    <row r="24" spans="13:16" x14ac:dyDescent="0.25">
      <c r="M24" s="8"/>
      <c r="N24" s="8"/>
      <c r="O24" s="8"/>
      <c r="P24" s="8"/>
    </row>
    <row r="25" spans="13:16" x14ac:dyDescent="0.25">
      <c r="M25" s="8"/>
      <c r="N25" s="8"/>
      <c r="O25" s="8"/>
      <c r="P25" s="8"/>
    </row>
    <row r="26" spans="13:16" x14ac:dyDescent="0.25">
      <c r="M26" s="8"/>
      <c r="N26" s="8"/>
      <c r="O26" s="8"/>
      <c r="P26" s="8"/>
    </row>
    <row r="27" spans="13:16" x14ac:dyDescent="0.25">
      <c r="M27" s="8"/>
      <c r="N27" s="8"/>
      <c r="O27" s="8"/>
      <c r="P27" s="8"/>
    </row>
    <row r="28" spans="13:16" x14ac:dyDescent="0.25">
      <c r="M28" s="8"/>
      <c r="N28" s="8"/>
      <c r="O28" s="8"/>
      <c r="P28" s="8"/>
    </row>
    <row r="29" spans="13:16" x14ac:dyDescent="0.25">
      <c r="M29" s="8"/>
      <c r="N29" s="8"/>
      <c r="O29" s="8"/>
      <c r="P29" s="8"/>
    </row>
    <row r="30" spans="13:16" x14ac:dyDescent="0.25">
      <c r="M30" s="8"/>
      <c r="N30" s="8"/>
      <c r="O30" s="8"/>
      <c r="P30" s="8"/>
    </row>
    <row r="31" spans="13:16" x14ac:dyDescent="0.25">
      <c r="M31" s="8"/>
      <c r="N31" s="8"/>
      <c r="O31" s="8"/>
      <c r="P31" s="8"/>
    </row>
    <row r="32" spans="13:16" x14ac:dyDescent="0.25">
      <c r="M32" s="8"/>
      <c r="N32" s="8"/>
      <c r="O32" s="8"/>
      <c r="P32" s="8"/>
    </row>
    <row r="33" spans="1:16" x14ac:dyDescent="0.25">
      <c r="M33" s="8"/>
      <c r="N33" s="8"/>
      <c r="O33" s="8"/>
      <c r="P33" s="8"/>
    </row>
    <row r="34" spans="1:16" x14ac:dyDescent="0.25">
      <c r="M34" s="8"/>
      <c r="N34" s="8"/>
      <c r="O34" s="8"/>
      <c r="P34" s="8"/>
    </row>
    <row r="35" spans="1:16" x14ac:dyDescent="0.25">
      <c r="A35" s="1" t="s">
        <v>776</v>
      </c>
      <c r="B35" s="1" t="s">
        <v>776</v>
      </c>
      <c r="M35" s="8"/>
      <c r="N35" s="8"/>
      <c r="O35" s="8"/>
      <c r="P35" s="8"/>
    </row>
    <row r="36" spans="1:16" x14ac:dyDescent="0.25">
      <c r="A36" s="1" t="s">
        <v>776</v>
      </c>
      <c r="B36" s="1" t="s">
        <v>776</v>
      </c>
      <c r="M36" s="8"/>
      <c r="N36" s="8"/>
      <c r="O36" s="8"/>
      <c r="P36" s="8"/>
    </row>
    <row r="37" spans="1:16" x14ac:dyDescent="0.25">
      <c r="M37" s="8"/>
      <c r="N37" s="8"/>
      <c r="O37" s="8"/>
      <c r="P37" s="8"/>
    </row>
    <row r="38" spans="1:16" x14ac:dyDescent="0.25">
      <c r="M38" s="8"/>
      <c r="N38" s="8"/>
      <c r="O38" s="8"/>
      <c r="P38" s="8"/>
    </row>
    <row r="39" spans="1:16" x14ac:dyDescent="0.25">
      <c r="M39" s="8"/>
      <c r="N39" s="8"/>
      <c r="O39" s="8"/>
      <c r="P39" s="8"/>
    </row>
    <row r="40" spans="1:16" x14ac:dyDescent="0.25">
      <c r="M40" s="8"/>
      <c r="N40" s="8"/>
      <c r="O40" s="8"/>
      <c r="P40" s="8"/>
    </row>
    <row r="41" spans="1:16" x14ac:dyDescent="0.25">
      <c r="M41" s="8"/>
      <c r="N41" s="8"/>
      <c r="O41" s="8"/>
      <c r="P41" s="8"/>
    </row>
    <row r="42" spans="1:16" x14ac:dyDescent="0.25">
      <c r="M42" s="8"/>
      <c r="N42" s="8"/>
      <c r="O42" s="8"/>
      <c r="P42" s="8"/>
    </row>
  </sheetData>
  <mergeCells count="1">
    <mergeCell ref="A1:K1"/>
  </mergeCells>
  <phoneticPr fontId="15" type="noConversion"/>
  <printOptions horizontalCentered="1" verticalCentered="1"/>
  <pageMargins left="0.5" right="0.5" top="0.5" bottom="0.5" header="0.5" footer="0.5"/>
  <pageSetup scale="96" orientation="portrait" r:id="rId1"/>
  <headerFooter alignWithMargins="0">
    <oddFooter xml:space="preserve">&amp;LSource: Office of Admissions&amp;C &amp;R </oddFooter>
  </headerFooter>
  <drawing r:id="rId2"/>
  <legacyDrawing r:id="rId3"/>
  <oleObjects>
    <mc:AlternateContent xmlns:mc="http://schemas.openxmlformats.org/markup-compatibility/2006">
      <mc:Choice Requires="x14">
        <oleObject progId="Word.Document.8" shapeId="254978" r:id="rId4">
          <objectPr defaultSize="0" autoPict="0" r:id="rId5">
            <anchor moveWithCells="1">
              <from>
                <xdr:col>0</xdr:col>
                <xdr:colOff>0</xdr:colOff>
                <xdr:row>34</xdr:row>
                <xdr:rowOff>0</xdr:rowOff>
              </from>
              <to>
                <xdr:col>10</xdr:col>
                <xdr:colOff>457200</xdr:colOff>
                <xdr:row>41</xdr:row>
                <xdr:rowOff>38100</xdr:rowOff>
              </to>
            </anchor>
          </objectPr>
        </oleObject>
      </mc:Choice>
      <mc:Fallback>
        <oleObject progId="Word.Document.8" shapeId="254978" r:id="rId4"/>
      </mc:Fallback>
    </mc:AlternateContent>
  </oleObjec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6">
    <pageSetUpPr fitToPage="1"/>
  </sheetPr>
  <dimension ref="A1:Q58"/>
  <sheetViews>
    <sheetView workbookViewId="0">
      <selection sqref="A1:K1"/>
    </sheetView>
  </sheetViews>
  <sheetFormatPr defaultColWidth="6.6640625" defaultRowHeight="13.2" x14ac:dyDescent="0.25"/>
  <cols>
    <col min="1" max="1" width="7.6640625" style="1" customWidth="1"/>
    <col min="2" max="2" width="13.44140625" style="1" customWidth="1"/>
    <col min="3" max="3" width="8.109375" style="1" customWidth="1"/>
    <col min="4" max="4" width="6.88671875" style="1" customWidth="1"/>
    <col min="5" max="6" width="8.109375" style="1" customWidth="1"/>
    <col min="7" max="7" width="6.88671875" style="1" customWidth="1"/>
    <col min="8" max="9" width="8.109375" style="1" customWidth="1"/>
    <col min="10" max="10" width="6.88671875" style="1" customWidth="1"/>
    <col min="11" max="11" width="8.6640625" style="1" customWidth="1"/>
    <col min="12" max="12" width="6.6640625" style="1" customWidth="1"/>
    <col min="13" max="16" width="9.109375" style="1" customWidth="1"/>
    <col min="17" max="17" width="8.44140625" style="1" customWidth="1"/>
    <col min="18" max="16384" width="6.6640625" style="1"/>
  </cols>
  <sheetData>
    <row r="1" spans="1:17" ht="17.399999999999999" x14ac:dyDescent="0.3">
      <c r="A1" s="1701" t="s">
        <v>1560</v>
      </c>
      <c r="B1" s="1701"/>
      <c r="C1" s="1701"/>
      <c r="D1" s="1701"/>
      <c r="E1" s="1701"/>
      <c r="F1" s="1701"/>
      <c r="G1" s="1701"/>
      <c r="H1" s="1701"/>
      <c r="I1" s="1701"/>
      <c r="J1" s="1701"/>
      <c r="K1" s="1701"/>
      <c r="M1" s="8"/>
      <c r="N1" s="8"/>
      <c r="O1" s="8"/>
      <c r="P1" s="8"/>
    </row>
    <row r="2" spans="1:17" x14ac:dyDescent="0.25">
      <c r="M2" s="8"/>
      <c r="N2" s="8"/>
      <c r="O2" s="8"/>
      <c r="P2" s="8"/>
    </row>
    <row r="3" spans="1:17" ht="15" customHeight="1" x14ac:dyDescent="0.25">
      <c r="A3" s="80"/>
      <c r="B3" s="102" t="s">
        <v>778</v>
      </c>
      <c r="C3" s="83" t="s">
        <v>798</v>
      </c>
      <c r="D3" s="83"/>
      <c r="E3" s="84"/>
      <c r="F3" s="83" t="s">
        <v>799</v>
      </c>
      <c r="G3" s="83"/>
      <c r="H3" s="84"/>
      <c r="I3" s="83" t="s">
        <v>800</v>
      </c>
      <c r="J3" s="83"/>
      <c r="K3" s="84"/>
      <c r="M3" s="8"/>
      <c r="N3" s="8"/>
      <c r="O3" s="82" t="s">
        <v>800</v>
      </c>
      <c r="P3" s="83"/>
      <c r="Q3" s="84"/>
    </row>
    <row r="4" spans="1:17" ht="26.4" x14ac:dyDescent="0.25">
      <c r="A4" s="85" t="s">
        <v>770</v>
      </c>
      <c r="B4" s="86" t="s">
        <v>801</v>
      </c>
      <c r="C4" s="87" t="s">
        <v>802</v>
      </c>
      <c r="D4" s="87" t="s">
        <v>803</v>
      </c>
      <c r="E4" s="88" t="s">
        <v>804</v>
      </c>
      <c r="F4" s="87" t="s">
        <v>802</v>
      </c>
      <c r="G4" s="87" t="s">
        <v>803</v>
      </c>
      <c r="H4" s="88" t="s">
        <v>804</v>
      </c>
      <c r="I4" s="87" t="s">
        <v>802</v>
      </c>
      <c r="J4" s="87" t="s">
        <v>803</v>
      </c>
      <c r="K4" s="88" t="s">
        <v>805</v>
      </c>
      <c r="M4" s="8"/>
      <c r="N4" s="89"/>
      <c r="O4" s="90" t="s">
        <v>802</v>
      </c>
      <c r="P4" s="87" t="s">
        <v>803</v>
      </c>
      <c r="Q4" s="88" t="s">
        <v>805</v>
      </c>
    </row>
    <row r="5" spans="1:17" x14ac:dyDescent="0.25">
      <c r="A5" s="410"/>
      <c r="B5" s="439" t="s">
        <v>776</v>
      </c>
      <c r="C5" s="381"/>
      <c r="D5" s="381" t="s">
        <v>776</v>
      </c>
      <c r="E5" s="382" t="s">
        <v>776</v>
      </c>
      <c r="F5" s="381"/>
      <c r="G5" s="381"/>
      <c r="H5" s="382"/>
      <c r="I5" s="381"/>
      <c r="J5" s="381"/>
      <c r="K5" s="382"/>
      <c r="M5" s="8"/>
      <c r="N5" s="91"/>
      <c r="O5" s="99"/>
      <c r="P5" s="99"/>
      <c r="Q5" s="99"/>
    </row>
    <row r="6" spans="1:17" x14ac:dyDescent="0.25">
      <c r="A6" s="22">
        <v>1996</v>
      </c>
      <c r="B6" s="661">
        <v>451</v>
      </c>
      <c r="C6" s="21">
        <v>497</v>
      </c>
      <c r="D6" s="21">
        <v>480</v>
      </c>
      <c r="E6" s="95">
        <v>505</v>
      </c>
      <c r="F6" s="21">
        <v>490</v>
      </c>
      <c r="G6" s="21">
        <v>474</v>
      </c>
      <c r="H6" s="95">
        <v>508</v>
      </c>
      <c r="I6" s="21">
        <v>987</v>
      </c>
      <c r="J6" s="21">
        <v>954</v>
      </c>
      <c r="K6" s="95">
        <v>1013</v>
      </c>
      <c r="M6" s="8"/>
      <c r="N6" s="22">
        <v>1996</v>
      </c>
      <c r="O6" s="21">
        <f>+I6</f>
        <v>987</v>
      </c>
      <c r="P6" s="103">
        <f>+J6</f>
        <v>954</v>
      </c>
      <c r="Q6" s="103">
        <f>+K6</f>
        <v>1013</v>
      </c>
    </row>
    <row r="7" spans="1:17" x14ac:dyDescent="0.25">
      <c r="A7" s="410"/>
      <c r="B7" s="439" t="s">
        <v>776</v>
      </c>
      <c r="C7" s="381"/>
      <c r="D7" s="381" t="s">
        <v>776</v>
      </c>
      <c r="E7" s="382" t="s">
        <v>776</v>
      </c>
      <c r="F7" s="381"/>
      <c r="G7" s="381"/>
      <c r="H7" s="382"/>
      <c r="I7" s="381"/>
      <c r="J7" s="381"/>
      <c r="K7" s="382"/>
      <c r="M7" s="8"/>
      <c r="N7" s="91"/>
      <c r="O7" s="99"/>
      <c r="P7" s="99"/>
      <c r="Q7" s="99"/>
    </row>
    <row r="8" spans="1:17" x14ac:dyDescent="0.25">
      <c r="A8" s="22">
        <v>1997</v>
      </c>
      <c r="B8" s="94">
        <v>454</v>
      </c>
      <c r="C8" s="21">
        <v>493</v>
      </c>
      <c r="D8" s="21">
        <v>479</v>
      </c>
      <c r="E8" s="95">
        <v>505</v>
      </c>
      <c r="F8" s="21">
        <v>490</v>
      </c>
      <c r="G8" s="21">
        <v>474</v>
      </c>
      <c r="H8" s="95">
        <v>511</v>
      </c>
      <c r="I8" s="21">
        <f>C8+F8</f>
        <v>983</v>
      </c>
      <c r="J8" s="21">
        <f>SUM(G8,D8)</f>
        <v>953</v>
      </c>
      <c r="K8" s="95">
        <v>1016</v>
      </c>
      <c r="M8" s="8"/>
      <c r="N8" s="22">
        <v>1997</v>
      </c>
      <c r="O8" s="21">
        <f>I8</f>
        <v>983</v>
      </c>
      <c r="P8" s="103">
        <f>J8</f>
        <v>953</v>
      </c>
      <c r="Q8" s="103">
        <f>K8</f>
        <v>1016</v>
      </c>
    </row>
    <row r="9" spans="1:17" x14ac:dyDescent="0.25">
      <c r="A9" s="410"/>
      <c r="B9" s="439"/>
      <c r="C9" s="381"/>
      <c r="D9" s="381"/>
      <c r="E9" s="382"/>
      <c r="F9" s="381"/>
      <c r="G9" s="381"/>
      <c r="H9" s="382"/>
      <c r="I9" s="381"/>
      <c r="J9" s="381"/>
      <c r="K9" s="382"/>
      <c r="M9" s="8"/>
      <c r="N9" s="91"/>
      <c r="O9" s="99"/>
      <c r="P9" s="99"/>
      <c r="Q9" s="99"/>
    </row>
    <row r="10" spans="1:17" x14ac:dyDescent="0.25">
      <c r="A10" s="22">
        <v>1998</v>
      </c>
      <c r="B10" s="94">
        <v>491</v>
      </c>
      <c r="C10" s="21">
        <v>488</v>
      </c>
      <c r="D10" s="21">
        <v>478</v>
      </c>
      <c r="E10" s="95">
        <v>505</v>
      </c>
      <c r="F10" s="21">
        <v>483</v>
      </c>
      <c r="G10" s="21">
        <v>473</v>
      </c>
      <c r="H10" s="95">
        <v>512</v>
      </c>
      <c r="I10" s="21">
        <f>+C10+F10</f>
        <v>971</v>
      </c>
      <c r="J10" s="21">
        <f>SUM(G10,D10)</f>
        <v>951</v>
      </c>
      <c r="K10" s="95">
        <v>1017</v>
      </c>
      <c r="M10" s="8"/>
      <c r="N10" s="22">
        <v>1998</v>
      </c>
      <c r="O10" s="21">
        <f>I10</f>
        <v>971</v>
      </c>
      <c r="P10" s="103">
        <f>J10</f>
        <v>951</v>
      </c>
      <c r="Q10" s="103">
        <f>K10</f>
        <v>1017</v>
      </c>
    </row>
    <row r="11" spans="1:17" x14ac:dyDescent="0.25">
      <c r="A11" s="410"/>
      <c r="B11" s="439"/>
      <c r="C11" s="381"/>
      <c r="D11" s="381"/>
      <c r="E11" s="382"/>
      <c r="F11" s="381"/>
      <c r="G11" s="381"/>
      <c r="H11" s="382"/>
      <c r="I11" s="381"/>
      <c r="J11" s="381"/>
      <c r="K11" s="382"/>
      <c r="M11" s="8"/>
      <c r="N11" s="91"/>
      <c r="O11" s="99"/>
      <c r="P11" s="99"/>
      <c r="Q11" s="99"/>
    </row>
    <row r="12" spans="1:17" x14ac:dyDescent="0.25">
      <c r="A12" s="22">
        <v>1999</v>
      </c>
      <c r="B12" s="94">
        <v>497</v>
      </c>
      <c r="C12" s="21">
        <v>488</v>
      </c>
      <c r="D12" s="21">
        <v>479</v>
      </c>
      <c r="E12" s="95">
        <v>505</v>
      </c>
      <c r="F12" s="21">
        <v>489</v>
      </c>
      <c r="G12" s="21">
        <v>475</v>
      </c>
      <c r="H12" s="95">
        <v>511</v>
      </c>
      <c r="I12" s="21">
        <f>+C12+F12</f>
        <v>977</v>
      </c>
      <c r="J12" s="21">
        <f>SUM(G12,D12)</f>
        <v>954</v>
      </c>
      <c r="K12" s="95">
        <v>1016</v>
      </c>
      <c r="M12" s="8"/>
      <c r="N12" s="22">
        <v>1999</v>
      </c>
      <c r="O12" s="21">
        <f>I12</f>
        <v>977</v>
      </c>
      <c r="P12" s="103">
        <f>J12</f>
        <v>954</v>
      </c>
      <c r="Q12" s="103">
        <f>K12</f>
        <v>1016</v>
      </c>
    </row>
    <row r="13" spans="1:17" x14ac:dyDescent="0.25">
      <c r="A13" s="410"/>
      <c r="B13" s="439"/>
      <c r="C13" s="381"/>
      <c r="D13" s="381"/>
      <c r="E13" s="382"/>
      <c r="F13" s="381"/>
      <c r="G13" s="381"/>
      <c r="H13" s="382"/>
      <c r="I13" s="381"/>
      <c r="J13" s="381"/>
      <c r="K13" s="382"/>
      <c r="M13" s="8"/>
      <c r="N13" s="91"/>
      <c r="O13" s="99"/>
      <c r="P13" s="99"/>
      <c r="Q13" s="99"/>
    </row>
    <row r="14" spans="1:17" x14ac:dyDescent="0.25">
      <c r="A14" s="22">
        <v>2000</v>
      </c>
      <c r="B14" s="94">
        <v>515</v>
      </c>
      <c r="C14" s="21">
        <v>497</v>
      </c>
      <c r="D14" s="21">
        <v>484</v>
      </c>
      <c r="E14" s="95">
        <v>505</v>
      </c>
      <c r="F14" s="21">
        <v>499</v>
      </c>
      <c r="G14" s="21">
        <v>482</v>
      </c>
      <c r="H14" s="95">
        <v>514</v>
      </c>
      <c r="I14" s="21">
        <f>+C14+F14</f>
        <v>996</v>
      </c>
      <c r="J14" s="21">
        <f>SUM(G14,D14)</f>
        <v>966</v>
      </c>
      <c r="K14" s="95">
        <v>1019</v>
      </c>
      <c r="M14" s="8"/>
      <c r="N14" s="22">
        <v>2000</v>
      </c>
      <c r="O14" s="21">
        <f>I14</f>
        <v>996</v>
      </c>
      <c r="P14" s="103">
        <f>J14</f>
        <v>966</v>
      </c>
      <c r="Q14" s="103">
        <f>K14</f>
        <v>1019</v>
      </c>
    </row>
    <row r="15" spans="1:17" x14ac:dyDescent="0.25">
      <c r="A15" s="410"/>
      <c r="B15" s="439"/>
      <c r="C15" s="381"/>
      <c r="D15" s="381"/>
      <c r="E15" s="382"/>
      <c r="F15" s="381"/>
      <c r="G15" s="381"/>
      <c r="H15" s="382"/>
      <c r="I15" s="381"/>
      <c r="J15" s="381"/>
      <c r="K15" s="382"/>
      <c r="M15" s="8"/>
      <c r="N15" s="91"/>
      <c r="O15" s="99"/>
      <c r="P15" s="99"/>
      <c r="Q15" s="99"/>
    </row>
    <row r="16" spans="1:17" x14ac:dyDescent="0.25">
      <c r="A16" s="22">
        <v>2001</v>
      </c>
      <c r="B16" s="94">
        <v>489</v>
      </c>
      <c r="C16" s="21">
        <v>494</v>
      </c>
      <c r="D16" s="21">
        <v>486</v>
      </c>
      <c r="E16" s="95">
        <v>506</v>
      </c>
      <c r="F16" s="21">
        <v>502</v>
      </c>
      <c r="G16" s="21">
        <v>488</v>
      </c>
      <c r="H16" s="95">
        <v>514</v>
      </c>
      <c r="I16" s="21">
        <f>+C16+F16</f>
        <v>996</v>
      </c>
      <c r="J16" s="21">
        <f>SUM(G16,D16)</f>
        <v>974</v>
      </c>
      <c r="K16" s="95">
        <v>1020</v>
      </c>
      <c r="M16" s="8"/>
      <c r="N16" s="22">
        <v>2001</v>
      </c>
      <c r="O16" s="21">
        <f>I16</f>
        <v>996</v>
      </c>
      <c r="P16" s="103">
        <f>J16</f>
        <v>974</v>
      </c>
      <c r="Q16" s="103">
        <f>K16</f>
        <v>1020</v>
      </c>
    </row>
    <row r="17" spans="1:17" x14ac:dyDescent="0.25">
      <c r="A17" s="410"/>
      <c r="B17" s="439"/>
      <c r="C17" s="381"/>
      <c r="D17" s="381"/>
      <c r="E17" s="382"/>
      <c r="F17" s="381"/>
      <c r="G17" s="381"/>
      <c r="H17" s="382"/>
      <c r="I17" s="381"/>
      <c r="J17" s="381"/>
      <c r="K17" s="382"/>
      <c r="M17" s="8"/>
      <c r="N17" s="91"/>
      <c r="O17" s="99"/>
      <c r="P17" s="99"/>
      <c r="Q17" s="99"/>
    </row>
    <row r="18" spans="1:17" x14ac:dyDescent="0.25">
      <c r="A18" s="22">
        <v>2002</v>
      </c>
      <c r="B18" s="94">
        <v>529</v>
      </c>
      <c r="C18" s="21">
        <v>484</v>
      </c>
      <c r="D18" s="21">
        <v>488</v>
      </c>
      <c r="E18" s="95">
        <v>504</v>
      </c>
      <c r="F18" s="21">
        <v>492</v>
      </c>
      <c r="G18" s="21">
        <v>493</v>
      </c>
      <c r="H18" s="95">
        <v>516</v>
      </c>
      <c r="I18" s="21">
        <f>+C18+F18</f>
        <v>976</v>
      </c>
      <c r="J18" s="21">
        <f>SUM(G18,D18)</f>
        <v>981</v>
      </c>
      <c r="K18" s="95">
        <v>1020</v>
      </c>
      <c r="M18" s="8"/>
      <c r="N18" s="22">
        <v>2002</v>
      </c>
      <c r="O18" s="21">
        <f>I18</f>
        <v>976</v>
      </c>
      <c r="P18" s="103">
        <f>J18</f>
        <v>981</v>
      </c>
      <c r="Q18" s="103">
        <f>K18</f>
        <v>1020</v>
      </c>
    </row>
    <row r="19" spans="1:17" x14ac:dyDescent="0.25">
      <c r="A19" s="410"/>
      <c r="B19" s="439"/>
      <c r="C19" s="381"/>
      <c r="D19" s="381"/>
      <c r="E19" s="382"/>
      <c r="F19" s="381"/>
      <c r="G19" s="381"/>
      <c r="H19" s="382"/>
      <c r="I19" s="381"/>
      <c r="J19" s="381"/>
      <c r="K19" s="382"/>
      <c r="M19" s="8"/>
      <c r="N19" s="91"/>
      <c r="O19" s="99"/>
      <c r="P19" s="99"/>
      <c r="Q19" s="99"/>
    </row>
    <row r="20" spans="1:17" x14ac:dyDescent="0.25">
      <c r="A20" s="22">
        <v>2003</v>
      </c>
      <c r="B20" s="94">
        <v>547</v>
      </c>
      <c r="C20" s="21">
        <v>491</v>
      </c>
      <c r="D20" s="21">
        <v>493</v>
      </c>
      <c r="E20" s="95">
        <v>507</v>
      </c>
      <c r="F20" s="21">
        <v>501</v>
      </c>
      <c r="G20" s="21">
        <v>496</v>
      </c>
      <c r="H20" s="95">
        <v>519</v>
      </c>
      <c r="I20" s="21">
        <f>+C20+F20</f>
        <v>992</v>
      </c>
      <c r="J20" s="21">
        <f>SUM(G20,D20)</f>
        <v>989</v>
      </c>
      <c r="K20" s="95">
        <v>1026</v>
      </c>
      <c r="M20" s="8"/>
      <c r="N20" s="22">
        <v>2003</v>
      </c>
      <c r="O20" s="21">
        <f>I20</f>
        <v>992</v>
      </c>
      <c r="P20" s="103">
        <f>J20</f>
        <v>989</v>
      </c>
      <c r="Q20" s="103">
        <f>K20</f>
        <v>1026</v>
      </c>
    </row>
    <row r="21" spans="1:17" x14ac:dyDescent="0.25">
      <c r="A21" s="410"/>
      <c r="B21" s="439"/>
      <c r="C21" s="381"/>
      <c r="D21" s="381"/>
      <c r="E21" s="382"/>
      <c r="F21" s="381"/>
      <c r="G21" s="381"/>
      <c r="H21" s="382"/>
      <c r="I21" s="381"/>
      <c r="J21" s="381"/>
      <c r="K21" s="382"/>
      <c r="M21" s="8"/>
      <c r="N21" s="91"/>
      <c r="O21" s="99"/>
      <c r="P21" s="99"/>
      <c r="Q21" s="99"/>
    </row>
    <row r="22" spans="1:17" x14ac:dyDescent="0.25">
      <c r="A22" s="22">
        <v>2004</v>
      </c>
      <c r="B22" s="94">
        <v>655</v>
      </c>
      <c r="C22" s="21">
        <v>483</v>
      </c>
      <c r="D22" s="21">
        <v>491</v>
      </c>
      <c r="E22" s="95">
        <v>508</v>
      </c>
      <c r="F22" s="21">
        <v>491</v>
      </c>
      <c r="G22" s="21">
        <v>495</v>
      </c>
      <c r="H22" s="95">
        <v>518</v>
      </c>
      <c r="I22" s="21">
        <f>+C22+F22</f>
        <v>974</v>
      </c>
      <c r="J22" s="21">
        <f>SUM(G22,D22)</f>
        <v>986</v>
      </c>
      <c r="K22" s="95">
        <v>1026</v>
      </c>
      <c r="M22" s="8"/>
      <c r="N22" s="22">
        <v>2004</v>
      </c>
      <c r="O22" s="21">
        <f>I22</f>
        <v>974</v>
      </c>
      <c r="P22" s="103">
        <f>J22</f>
        <v>986</v>
      </c>
      <c r="Q22" s="103">
        <f>K22</f>
        <v>1026</v>
      </c>
    </row>
    <row r="23" spans="1:17" x14ac:dyDescent="0.25">
      <c r="A23" s="410"/>
      <c r="B23" s="439"/>
      <c r="C23" s="381"/>
      <c r="D23" s="381"/>
      <c r="E23" s="382"/>
      <c r="F23" s="381"/>
      <c r="G23" s="381"/>
      <c r="H23" s="382"/>
      <c r="I23" s="381"/>
      <c r="J23" s="381"/>
      <c r="K23" s="382"/>
      <c r="M23" s="8"/>
      <c r="N23" s="91"/>
      <c r="O23" s="99"/>
      <c r="P23" s="99"/>
      <c r="Q23" s="99"/>
    </row>
    <row r="24" spans="1:17" x14ac:dyDescent="0.25">
      <c r="A24" s="22">
        <v>2005</v>
      </c>
      <c r="B24" s="94">
        <v>577</v>
      </c>
      <c r="C24" s="21">
        <v>480</v>
      </c>
      <c r="D24" s="21">
        <v>494</v>
      </c>
      <c r="E24" s="95">
        <v>508</v>
      </c>
      <c r="F24" s="21">
        <v>494</v>
      </c>
      <c r="G24" s="21">
        <v>499</v>
      </c>
      <c r="H24" s="95">
        <v>520</v>
      </c>
      <c r="I24" s="21">
        <f>+C24+F24</f>
        <v>974</v>
      </c>
      <c r="J24" s="21">
        <f>SUM(G24,D24)</f>
        <v>993</v>
      </c>
      <c r="K24" s="95">
        <f>+H24+E24</f>
        <v>1028</v>
      </c>
      <c r="M24" s="8"/>
      <c r="N24" s="22">
        <v>2005</v>
      </c>
      <c r="O24" s="21">
        <f>I24</f>
        <v>974</v>
      </c>
      <c r="P24" s="103">
        <f>J24</f>
        <v>993</v>
      </c>
      <c r="Q24" s="103">
        <f>K24</f>
        <v>1028</v>
      </c>
    </row>
    <row r="25" spans="1:17" x14ac:dyDescent="0.25">
      <c r="A25" s="410"/>
      <c r="B25" s="439"/>
      <c r="C25" s="381"/>
      <c r="D25" s="381"/>
      <c r="E25" s="382"/>
      <c r="F25" s="381"/>
      <c r="G25" s="381"/>
      <c r="H25" s="382"/>
      <c r="I25" s="381"/>
      <c r="J25" s="381"/>
      <c r="K25" s="382"/>
      <c r="M25" s="8"/>
      <c r="N25" s="91"/>
      <c r="O25" s="99"/>
      <c r="P25" s="99"/>
      <c r="Q25" s="99"/>
    </row>
    <row r="26" spans="1:17" x14ac:dyDescent="0.25">
      <c r="A26" s="22">
        <v>2006</v>
      </c>
      <c r="B26" s="94">
        <v>580</v>
      </c>
      <c r="C26" s="21">
        <v>477</v>
      </c>
      <c r="D26" s="21">
        <v>487</v>
      </c>
      <c r="E26" s="95">
        <v>503</v>
      </c>
      <c r="F26" s="21">
        <v>491</v>
      </c>
      <c r="G26" s="21">
        <v>498</v>
      </c>
      <c r="H26" s="95">
        <v>518</v>
      </c>
      <c r="I26" s="21">
        <f>+C26+F26</f>
        <v>968</v>
      </c>
      <c r="J26" s="21">
        <f>SUM(G26,D26)</f>
        <v>985</v>
      </c>
      <c r="K26" s="95">
        <f>+H26+E26</f>
        <v>1021</v>
      </c>
      <c r="M26" s="8"/>
      <c r="N26" s="22">
        <v>2006</v>
      </c>
      <c r="O26" s="21">
        <f>I26</f>
        <v>968</v>
      </c>
      <c r="P26" s="103">
        <f>J26</f>
        <v>985</v>
      </c>
      <c r="Q26" s="103">
        <f>K26</f>
        <v>1021</v>
      </c>
    </row>
    <row r="27" spans="1:17" x14ac:dyDescent="0.25">
      <c r="A27" s="410"/>
      <c r="B27" s="439"/>
      <c r="C27" s="381"/>
      <c r="D27" s="381"/>
      <c r="E27" s="382"/>
      <c r="F27" s="381"/>
      <c r="G27" s="381"/>
      <c r="H27" s="382"/>
      <c r="I27" s="381"/>
      <c r="J27" s="381"/>
      <c r="K27" s="382"/>
      <c r="M27" s="8"/>
      <c r="N27" s="91"/>
      <c r="O27" s="99"/>
      <c r="P27" s="99"/>
      <c r="Q27" s="99"/>
    </row>
    <row r="28" spans="1:17" x14ac:dyDescent="0.25">
      <c r="A28" s="926">
        <v>2007</v>
      </c>
      <c r="B28" s="927">
        <v>433</v>
      </c>
      <c r="C28" s="928">
        <v>484</v>
      </c>
      <c r="D28" s="928">
        <v>488</v>
      </c>
      <c r="E28" s="929">
        <v>502</v>
      </c>
      <c r="F28" s="928">
        <v>510</v>
      </c>
      <c r="G28" s="928">
        <v>496</v>
      </c>
      <c r="H28" s="929">
        <v>515</v>
      </c>
      <c r="I28" s="928">
        <v>994</v>
      </c>
      <c r="J28" s="928">
        <f>SUM(G28,D28)</f>
        <v>984</v>
      </c>
      <c r="K28" s="929">
        <f>+H28+E28</f>
        <v>1017</v>
      </c>
      <c r="M28" s="8"/>
      <c r="N28" s="22">
        <v>2007</v>
      </c>
      <c r="O28" s="21">
        <f>I28</f>
        <v>994</v>
      </c>
      <c r="P28" s="103">
        <f>J28</f>
        <v>984</v>
      </c>
      <c r="Q28" s="103">
        <f>K28</f>
        <v>1017</v>
      </c>
    </row>
    <row r="29" spans="1:17" x14ac:dyDescent="0.25">
      <c r="A29" s="410"/>
      <c r="B29" s="439"/>
      <c r="C29" s="381"/>
      <c r="D29" s="381"/>
      <c r="E29" s="382"/>
      <c r="F29" s="381"/>
      <c r="G29" s="381"/>
      <c r="H29" s="382"/>
      <c r="I29" s="381"/>
      <c r="J29" s="381"/>
      <c r="K29" s="382"/>
      <c r="M29" s="8"/>
      <c r="N29" s="91"/>
      <c r="O29" s="99"/>
      <c r="P29" s="99"/>
      <c r="Q29" s="99"/>
    </row>
    <row r="30" spans="1:17" x14ac:dyDescent="0.25">
      <c r="A30" s="926">
        <v>2008</v>
      </c>
      <c r="B30" s="927">
        <v>555</v>
      </c>
      <c r="C30" s="928">
        <v>473</v>
      </c>
      <c r="D30" s="928">
        <v>488</v>
      </c>
      <c r="E30" s="929">
        <v>502</v>
      </c>
      <c r="F30" s="928">
        <v>492</v>
      </c>
      <c r="G30" s="928">
        <v>497</v>
      </c>
      <c r="H30" s="929">
        <v>515</v>
      </c>
      <c r="I30" s="928">
        <v>964</v>
      </c>
      <c r="J30" s="928">
        <f>+G30+D30</f>
        <v>985</v>
      </c>
      <c r="K30" s="929">
        <f>+H30+E30</f>
        <v>1017</v>
      </c>
      <c r="M30" s="8"/>
      <c r="N30" s="22">
        <v>2008</v>
      </c>
      <c r="O30" s="21">
        <f>I30</f>
        <v>964</v>
      </c>
      <c r="P30" s="103">
        <f>J30</f>
        <v>985</v>
      </c>
      <c r="Q30" s="103">
        <f>K30</f>
        <v>1017</v>
      </c>
    </row>
    <row r="31" spans="1:17" x14ac:dyDescent="0.25">
      <c r="A31" s="410"/>
      <c r="B31" s="439"/>
      <c r="C31" s="381"/>
      <c r="D31" s="381"/>
      <c r="E31" s="382"/>
      <c r="F31" s="381"/>
      <c r="G31" s="381"/>
      <c r="H31" s="382"/>
      <c r="I31" s="381"/>
      <c r="J31" s="381"/>
      <c r="K31" s="382"/>
      <c r="M31" s="8"/>
      <c r="N31" s="91"/>
      <c r="O31" s="99"/>
      <c r="P31" s="99"/>
      <c r="Q31" s="99"/>
    </row>
    <row r="32" spans="1:17" x14ac:dyDescent="0.25">
      <c r="A32" s="926">
        <v>2009</v>
      </c>
      <c r="B32" s="927">
        <v>582</v>
      </c>
      <c r="C32" s="928">
        <v>489</v>
      </c>
      <c r="D32" s="928">
        <v>486</v>
      </c>
      <c r="E32" s="929">
        <v>501</v>
      </c>
      <c r="F32" s="928">
        <v>500</v>
      </c>
      <c r="G32" s="928">
        <v>496</v>
      </c>
      <c r="H32" s="929">
        <v>515</v>
      </c>
      <c r="I32" s="928">
        <v>989</v>
      </c>
      <c r="J32" s="928">
        <f>+G32+D32</f>
        <v>982</v>
      </c>
      <c r="K32" s="929">
        <f>+H32+E32</f>
        <v>1016</v>
      </c>
      <c r="M32" s="8"/>
      <c r="N32" s="22">
        <v>2009</v>
      </c>
      <c r="O32" s="21">
        <f>I32</f>
        <v>989</v>
      </c>
      <c r="P32" s="103">
        <f>J32</f>
        <v>982</v>
      </c>
      <c r="Q32" s="103">
        <f>K32</f>
        <v>1016</v>
      </c>
    </row>
    <row r="33" spans="1:17" x14ac:dyDescent="0.25">
      <c r="A33" s="410"/>
      <c r="B33" s="439"/>
      <c r="C33" s="381"/>
      <c r="D33" s="381"/>
      <c r="E33" s="382"/>
      <c r="F33" s="381"/>
      <c r="G33" s="381"/>
      <c r="H33" s="382"/>
      <c r="I33" s="381"/>
      <c r="J33" s="381"/>
      <c r="K33" s="382"/>
      <c r="M33" s="8"/>
      <c r="N33" s="91"/>
      <c r="O33" s="99"/>
      <c r="P33" s="99"/>
      <c r="Q33" s="99"/>
    </row>
    <row r="34" spans="1:17" x14ac:dyDescent="0.25">
      <c r="A34" s="926">
        <v>2010</v>
      </c>
      <c r="B34" s="927">
        <v>686</v>
      </c>
      <c r="C34" s="928">
        <v>483</v>
      </c>
      <c r="D34" s="928">
        <v>484</v>
      </c>
      <c r="E34" s="929">
        <v>501</v>
      </c>
      <c r="F34" s="928">
        <v>504</v>
      </c>
      <c r="G34" s="928">
        <v>495</v>
      </c>
      <c r="H34" s="929">
        <v>516</v>
      </c>
      <c r="I34" s="928">
        <v>986</v>
      </c>
      <c r="J34" s="928">
        <f>+G34+D34</f>
        <v>979</v>
      </c>
      <c r="K34" s="929">
        <f>+H34+E34</f>
        <v>1017</v>
      </c>
      <c r="M34" s="8"/>
      <c r="N34" s="22">
        <v>2010</v>
      </c>
      <c r="O34" s="21">
        <f>I34</f>
        <v>986</v>
      </c>
      <c r="P34" s="103">
        <f>J34</f>
        <v>979</v>
      </c>
      <c r="Q34" s="103">
        <f>K34</f>
        <v>1017</v>
      </c>
    </row>
    <row r="35" spans="1:17" x14ac:dyDescent="0.25">
      <c r="A35" s="410"/>
      <c r="B35" s="439"/>
      <c r="C35" s="381"/>
      <c r="D35" s="381"/>
      <c r="E35" s="382"/>
      <c r="F35" s="381"/>
      <c r="G35" s="381"/>
      <c r="H35" s="382"/>
      <c r="I35" s="381"/>
      <c r="J35" s="381"/>
      <c r="K35" s="382"/>
      <c r="M35" s="8"/>
      <c r="N35" s="91"/>
      <c r="O35" s="99"/>
      <c r="P35" s="99"/>
      <c r="Q35" s="99"/>
    </row>
    <row r="36" spans="1:17" x14ac:dyDescent="0.25">
      <c r="A36" s="926">
        <v>2011</v>
      </c>
      <c r="B36" s="927">
        <v>595</v>
      </c>
      <c r="C36" s="928">
        <v>476</v>
      </c>
      <c r="D36" s="928">
        <v>482</v>
      </c>
      <c r="E36" s="929">
        <v>497</v>
      </c>
      <c r="F36" s="928">
        <v>492</v>
      </c>
      <c r="G36" s="928">
        <v>490</v>
      </c>
      <c r="H36" s="929">
        <v>514</v>
      </c>
      <c r="I36" s="928">
        <f>+F36+C36</f>
        <v>968</v>
      </c>
      <c r="J36" s="928">
        <f>+G36+D36</f>
        <v>972</v>
      </c>
      <c r="K36" s="929">
        <f>+H36+E36</f>
        <v>1011</v>
      </c>
      <c r="M36" s="8"/>
      <c r="N36" s="22">
        <v>2011</v>
      </c>
      <c r="O36" s="21">
        <f>I36</f>
        <v>968</v>
      </c>
      <c r="P36" s="103">
        <f>J36</f>
        <v>972</v>
      </c>
      <c r="Q36" s="103">
        <f>K36</f>
        <v>1011</v>
      </c>
    </row>
    <row r="37" spans="1:17" x14ac:dyDescent="0.25">
      <c r="A37" s="410"/>
      <c r="B37" s="439"/>
      <c r="C37" s="381"/>
      <c r="D37" s="381"/>
      <c r="E37" s="382"/>
      <c r="F37" s="381"/>
      <c r="G37" s="381"/>
      <c r="H37" s="382"/>
      <c r="I37" s="381"/>
      <c r="J37" s="381"/>
      <c r="K37" s="382"/>
      <c r="M37" s="8"/>
      <c r="N37" s="91"/>
      <c r="O37" s="99"/>
      <c r="P37" s="99"/>
      <c r="Q37" s="99"/>
    </row>
    <row r="38" spans="1:17" x14ac:dyDescent="0.25">
      <c r="A38" s="926">
        <v>2012</v>
      </c>
      <c r="B38" s="927">
        <v>569</v>
      </c>
      <c r="C38" s="928">
        <v>485</v>
      </c>
      <c r="D38" s="928">
        <v>481</v>
      </c>
      <c r="E38" s="929">
        <v>496</v>
      </c>
      <c r="F38" s="928">
        <v>496</v>
      </c>
      <c r="G38" s="928">
        <v>488</v>
      </c>
      <c r="H38" s="929">
        <v>514</v>
      </c>
      <c r="I38" s="928">
        <f>+F38+C38</f>
        <v>981</v>
      </c>
      <c r="J38" s="928">
        <f>+G38+D38</f>
        <v>969</v>
      </c>
      <c r="K38" s="929">
        <f>+H38+E38</f>
        <v>1010</v>
      </c>
      <c r="M38" s="8"/>
      <c r="N38" s="22">
        <v>2012</v>
      </c>
      <c r="O38" s="21">
        <f>I38</f>
        <v>981</v>
      </c>
      <c r="P38" s="103">
        <f>J38</f>
        <v>969</v>
      </c>
      <c r="Q38" s="103">
        <f>K38</f>
        <v>1010</v>
      </c>
    </row>
    <row r="39" spans="1:17" x14ac:dyDescent="0.25">
      <c r="M39" s="8"/>
    </row>
    <row r="40" spans="1:17" x14ac:dyDescent="0.25">
      <c r="M40" s="8"/>
    </row>
    <row r="41" spans="1:17" x14ac:dyDescent="0.25">
      <c r="M41" s="8"/>
    </row>
    <row r="42" spans="1:17" x14ac:dyDescent="0.25">
      <c r="M42" s="8"/>
    </row>
    <row r="43" spans="1:17" x14ac:dyDescent="0.25">
      <c r="M43" s="8"/>
    </row>
    <row r="44" spans="1:17" x14ac:dyDescent="0.25">
      <c r="M44" s="8"/>
    </row>
    <row r="45" spans="1:17" x14ac:dyDescent="0.25">
      <c r="M45" s="8"/>
    </row>
    <row r="46" spans="1:17" x14ac:dyDescent="0.25">
      <c r="M46" s="8"/>
      <c r="N46" s="8"/>
      <c r="O46" s="8"/>
      <c r="P46" s="8"/>
    </row>
    <row r="47" spans="1:17" x14ac:dyDescent="0.25">
      <c r="M47" s="8"/>
      <c r="N47" s="8"/>
      <c r="O47" s="8"/>
      <c r="P47" s="8"/>
    </row>
    <row r="48" spans="1:17" x14ac:dyDescent="0.25">
      <c r="M48" s="8"/>
      <c r="N48" s="8"/>
      <c r="O48" s="8"/>
      <c r="P48" s="8"/>
    </row>
    <row r="49" spans="1:16" x14ac:dyDescent="0.25">
      <c r="D49" s="1" t="s">
        <v>776</v>
      </c>
      <c r="M49" s="8"/>
      <c r="N49" s="8"/>
      <c r="O49" s="8"/>
      <c r="P49" s="8"/>
    </row>
    <row r="50" spans="1:16" x14ac:dyDescent="0.25">
      <c r="A50" s="1" t="s">
        <v>776</v>
      </c>
      <c r="M50" s="8"/>
      <c r="N50" s="8"/>
      <c r="O50" s="8"/>
      <c r="P50" s="8"/>
    </row>
    <row r="51" spans="1:16" x14ac:dyDescent="0.25">
      <c r="M51" s="8"/>
      <c r="N51" s="8"/>
      <c r="O51" s="8"/>
      <c r="P51" s="8"/>
    </row>
    <row r="52" spans="1:16" x14ac:dyDescent="0.25">
      <c r="M52" s="8"/>
      <c r="N52" s="8"/>
      <c r="O52" s="8"/>
      <c r="P52" s="8"/>
    </row>
    <row r="53" spans="1:16" x14ac:dyDescent="0.25">
      <c r="M53" s="8"/>
      <c r="N53" s="8"/>
      <c r="O53" s="8"/>
      <c r="P53" s="8"/>
    </row>
    <row r="54" spans="1:16" x14ac:dyDescent="0.25">
      <c r="M54" s="8"/>
      <c r="N54" s="8"/>
      <c r="O54" s="8"/>
      <c r="P54" s="8"/>
    </row>
    <row r="55" spans="1:16" x14ac:dyDescent="0.25">
      <c r="N55" s="8"/>
      <c r="O55" s="8"/>
      <c r="P55" s="8"/>
    </row>
    <row r="56" spans="1:16" x14ac:dyDescent="0.25">
      <c r="N56" s="8"/>
      <c r="O56" s="8"/>
      <c r="P56" s="8"/>
    </row>
    <row r="57" spans="1:16" x14ac:dyDescent="0.25">
      <c r="N57" s="8"/>
      <c r="O57" s="8"/>
      <c r="P57" s="8"/>
    </row>
    <row r="58" spans="1:16" x14ac:dyDescent="0.25">
      <c r="N58" s="8"/>
      <c r="O58" s="8"/>
      <c r="P58" s="8"/>
    </row>
  </sheetData>
  <mergeCells count="1">
    <mergeCell ref="A1:K1"/>
  </mergeCells>
  <phoneticPr fontId="15" type="noConversion"/>
  <printOptions horizontalCentered="1" verticalCentered="1"/>
  <pageMargins left="1" right="0.25" top="1" bottom="1" header="0.5" footer="0.5"/>
  <pageSetup scale="83" orientation="portrait" r:id="rId1"/>
  <headerFooter alignWithMargins="0">
    <oddFooter xml:space="preserve">&amp;LSource: Office of Admissions&amp;C </oddFooter>
  </headerFooter>
  <drawing r:id="rId2"/>
  <legacyDrawing r:id="rId3"/>
  <oleObjects>
    <mc:AlternateContent xmlns:mc="http://schemas.openxmlformats.org/markup-compatibility/2006">
      <mc:Choice Requires="x14">
        <oleObject progId="Word.Document.8" shapeId="257026" r:id="rId4">
          <objectPr defaultSize="0" autoPict="0" r:id="rId5">
            <anchor moveWithCells="1">
              <from>
                <xdr:col>0</xdr:col>
                <xdr:colOff>7620</xdr:colOff>
                <xdr:row>59</xdr:row>
                <xdr:rowOff>160020</xdr:rowOff>
              </from>
              <to>
                <xdr:col>13</xdr:col>
                <xdr:colOff>502920</xdr:colOff>
                <xdr:row>65</xdr:row>
                <xdr:rowOff>30480</xdr:rowOff>
              </to>
            </anchor>
          </objectPr>
        </oleObject>
      </mc:Choice>
      <mc:Fallback>
        <oleObject progId="Word.Document.8" shapeId="257026"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69</vt:i4>
      </vt:variant>
      <vt:variant>
        <vt:lpstr>Charts</vt:lpstr>
      </vt:variant>
      <vt:variant>
        <vt:i4>1</vt:i4>
      </vt:variant>
      <vt:variant>
        <vt:lpstr>Named Ranges</vt:lpstr>
      </vt:variant>
      <vt:variant>
        <vt:i4>37</vt:i4>
      </vt:variant>
    </vt:vector>
  </HeadingPairs>
  <TitlesOfParts>
    <vt:vector size="107" baseType="lpstr">
      <vt:lpstr>Table of Contents</vt:lpstr>
      <vt:lpstr>Board of Trustees</vt:lpstr>
      <vt:lpstr>Executive Officers</vt:lpstr>
      <vt:lpstr>2011-2012 org chart</vt:lpstr>
      <vt:lpstr>Freshmen Application History</vt:lpstr>
      <vt:lpstr>Freshmen by Gender</vt:lpstr>
      <vt:lpstr>Freshmen by Ethnic Origin</vt:lpstr>
      <vt:lpstr>Freshmen SAT 91-95</vt:lpstr>
      <vt:lpstr>Freshmen SAT 96-12</vt:lpstr>
      <vt:lpstr>first time freshmen by high sch</vt:lpstr>
      <vt:lpstr>Transfer Application History</vt:lpstr>
      <vt:lpstr>Transfers by Gender</vt:lpstr>
      <vt:lpstr>Transfers by Ethnic Origin</vt:lpstr>
      <vt:lpstr>Transfers by Institution</vt:lpstr>
      <vt:lpstr>Fall 2012 Headcount</vt:lpstr>
      <vt:lpstr>NEW Fall CHP by DISC</vt:lpstr>
      <vt:lpstr>NEW Fall FTE by DISC</vt:lpstr>
      <vt:lpstr>UG cr hrs per student</vt:lpstr>
      <vt:lpstr>Spring 2013 Headcount</vt:lpstr>
      <vt:lpstr>NEW Spring CHP by DISC</vt:lpstr>
      <vt:lpstr>NEW Spring FTE by DISC</vt:lpstr>
      <vt:lpstr>Headcount &amp; FTE History</vt:lpstr>
      <vt:lpstr>NEW Summer CHP by DISC</vt:lpstr>
      <vt:lpstr>NEW Summer FTE by DISC</vt:lpstr>
      <vt:lpstr>Summer Credit Hour Production</vt:lpstr>
      <vt:lpstr>Fall Headcount by Class</vt:lpstr>
      <vt:lpstr>Spring Headcount by Class</vt:lpstr>
      <vt:lpstr>Summer Headcount by Class</vt:lpstr>
      <vt:lpstr>New Fall college hdcnt by major</vt:lpstr>
      <vt:lpstr>Fal hdct by major 5 yr ave</vt:lpstr>
      <vt:lpstr>Fall Headcoun by Education Majo</vt:lpstr>
      <vt:lpstr>Minor Headcount History</vt:lpstr>
      <vt:lpstr>Spring college hdcnt by major</vt:lpstr>
      <vt:lpstr>New Summer hdnt by college</vt:lpstr>
      <vt:lpstr>Number of Online Courses</vt:lpstr>
      <vt:lpstr>Average Age</vt:lpstr>
      <vt:lpstr>Fall 2012 by Age and Gend</vt:lpstr>
      <vt:lpstr>Black Enrollment History</vt:lpstr>
      <vt:lpstr>Country of Origin</vt:lpstr>
      <vt:lpstr>State of Origin</vt:lpstr>
      <vt:lpstr>SC Students by County</vt:lpstr>
      <vt:lpstr>In- &amp; Out-of-State Distribution</vt:lpstr>
      <vt:lpstr>New degrees conferred by colleg</vt:lpstr>
      <vt:lpstr>deg conferred 5 yr averages</vt:lpstr>
      <vt:lpstr>teacher certification degrees</vt:lpstr>
      <vt:lpstr>Minors Conferred</vt:lpstr>
      <vt:lpstr>Minors Conferred 5 year average</vt:lpstr>
      <vt:lpstr>Residency Halls Occupancy</vt:lpstr>
      <vt:lpstr>Library Statistics</vt:lpstr>
      <vt:lpstr>Alumni by Country</vt:lpstr>
      <vt:lpstr>Alumni by State</vt:lpstr>
      <vt:lpstr>Alumni by County</vt:lpstr>
      <vt:lpstr>FTE Student-Faculty Ratio</vt:lpstr>
      <vt:lpstr>Fall Teaching Fac. by Div rank</vt:lpstr>
      <vt:lpstr>Faculty by Div,Tenure,Degree</vt:lpstr>
      <vt:lpstr>Faculty by Rank and Gender</vt:lpstr>
      <vt:lpstr>Faculty Salaries by Rank</vt:lpstr>
      <vt:lpstr>Academic Fees</vt:lpstr>
      <vt:lpstr>financial aid sources</vt:lpstr>
      <vt:lpstr>Chart_Aid</vt:lpstr>
      <vt:lpstr>Revenues and Expenditures 12_13</vt:lpstr>
      <vt:lpstr> Facilities</vt:lpstr>
      <vt:lpstr>Graduation Rates (2003)</vt:lpstr>
      <vt:lpstr>Graduation Rates (2004)</vt:lpstr>
      <vt:lpstr>Graduation Rates (2005)</vt:lpstr>
      <vt:lpstr>Graduation Rates (2006)</vt:lpstr>
      <vt:lpstr>Graduation Rates 4 Yr Ave</vt:lpstr>
      <vt:lpstr>Freshmen Retention_Attrition</vt:lpstr>
      <vt:lpstr>Transfer Retention_Attrition</vt:lpstr>
      <vt:lpstr>Faculty by Div,Ten,Dg-Chart</vt:lpstr>
      <vt:lpstr>'Academic Fees'!Print_Area</vt:lpstr>
      <vt:lpstr>'Average Age'!Print_Area</vt:lpstr>
      <vt:lpstr>'Black Enrollment History'!Print_Area</vt:lpstr>
      <vt:lpstr>'Faculty by Div,Tenure,Degree'!Print_Area</vt:lpstr>
      <vt:lpstr>'Faculty by Rank and Gender'!Print_Area</vt:lpstr>
      <vt:lpstr>'Faculty Salaries by Rank'!Print_Area</vt:lpstr>
      <vt:lpstr>'Fall Headcount by Class'!Print_Area</vt:lpstr>
      <vt:lpstr>'financial aid sources'!Print_Area</vt:lpstr>
      <vt:lpstr>'Freshmen Application History'!Print_Area</vt:lpstr>
      <vt:lpstr>'Freshmen Retention_Attrition'!Print_Area</vt:lpstr>
      <vt:lpstr>'Freshmen SAT 91-95'!Print_Area</vt:lpstr>
      <vt:lpstr>'Freshmen SAT 96-12'!Print_Area</vt:lpstr>
      <vt:lpstr>'NEW Fall CHP by DISC'!Print_Area</vt:lpstr>
      <vt:lpstr>'New Fall college hdcnt by major'!Print_Area</vt:lpstr>
      <vt:lpstr>'NEW Fall FTE by DISC'!Print_Area</vt:lpstr>
      <vt:lpstr>'NEW Spring CHP by DISC'!Print_Area</vt:lpstr>
      <vt:lpstr>'NEW Spring FTE by DISC'!Print_Area</vt:lpstr>
      <vt:lpstr>'NEW Summer CHP by DISC'!Print_Area</vt:lpstr>
      <vt:lpstr>'NEW Summer FTE by DISC'!Print_Area</vt:lpstr>
      <vt:lpstr>'Spring Headcount by Class'!Print_Area</vt:lpstr>
      <vt:lpstr>'Summer Headcount by Class'!Print_Area</vt:lpstr>
      <vt:lpstr>'Table of Contents'!Print_Area</vt:lpstr>
      <vt:lpstr>'Transfer Application History'!Print_Area</vt:lpstr>
      <vt:lpstr>'deg conferred 5 yr averages'!Print_Titles</vt:lpstr>
      <vt:lpstr>'Fal hdct by major 5 yr ave'!Print_Titles</vt:lpstr>
      <vt:lpstr>'first time freshmen by high sch'!Print_Titles</vt:lpstr>
      <vt:lpstr>'New degrees conferred by colleg'!Print_Titles</vt:lpstr>
      <vt:lpstr>'NEW Fall CHP by DISC'!Print_Titles</vt:lpstr>
      <vt:lpstr>'New Fall college hdcnt by major'!Print_Titles</vt:lpstr>
      <vt:lpstr>'NEW Fall FTE by DISC'!Print_Titles</vt:lpstr>
      <vt:lpstr>'NEW Spring CHP by DISC'!Print_Titles</vt:lpstr>
      <vt:lpstr>'NEW Spring FTE by DISC'!Print_Titles</vt:lpstr>
      <vt:lpstr>'NEW Summer CHP by DISC'!Print_Titles</vt:lpstr>
      <vt:lpstr>'NEW Summer FTE by DISC'!Print_Titles</vt:lpstr>
      <vt:lpstr>'New Summer hdnt by college'!Print_Titles</vt:lpstr>
      <vt:lpstr>'Spring college hdcnt by major'!Print_Titles</vt:lpstr>
      <vt:lpstr>'Table of Contents'!Print_Titles</vt:lpstr>
    </vt:vector>
  </TitlesOfParts>
  <Company>Lander University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mkirkpat</dc:creator>
  <cp:lastModifiedBy>Mac Kirkpatrick</cp:lastModifiedBy>
  <cp:lastPrinted>2013-10-03T19:34:15Z</cp:lastPrinted>
  <dcterms:created xsi:type="dcterms:W3CDTF">2001-05-07T18:16:49Z</dcterms:created>
  <dcterms:modified xsi:type="dcterms:W3CDTF">2014-11-25T15:44:39Z</dcterms:modified>
</cp:coreProperties>
</file>